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sash/Downloads/"/>
    </mc:Choice>
  </mc:AlternateContent>
  <xr:revisionPtr revIDLastSave="0" documentId="13_ncr:1_{3CF0D98B-8365-854A-8A42-D5FBD253DDFC}" xr6:coauthVersionLast="47" xr6:coauthVersionMax="47" xr10:uidLastSave="{00000000-0000-0000-0000-000000000000}"/>
  <workbookProtection workbookAlgorithmName="SHA-512" workbookHashValue="pDnOe0pJuDJThzJl0d60qcD3zu8xRN95oRjiRz/z5GcqqR7I3MQttzXeGfsmIO8tdlyQdhphJzOYIs4Hhg4UBw==" workbookSaltValue="jrLvbWSyS/3irsN2dCTO3A==" workbookSpinCount="100000" lockStructure="1"/>
  <bookViews>
    <workbookView xWindow="0" yWindow="680" windowWidth="34200" windowHeight="20140" activeTab="7" xr2:uid="{00000000-000D-0000-FFFF-FFFF00000000}"/>
  </bookViews>
  <sheets>
    <sheet name="1. Assumptions" sheetId="1" r:id="rId1"/>
    <sheet name="2. UK Sourcing" sheetId="2" r:id="rId2"/>
    <sheet name="3. Europe Sourcing" sheetId="3" r:id="rId3"/>
    <sheet name="4. Global Sourcing" sheetId="4" r:id="rId4"/>
    <sheet name="5. Weighted Carbon Footprint" sheetId="5" r:id="rId5"/>
    <sheet name="6. Comparative Summary" sheetId="6" r:id="rId6"/>
    <sheet name="7. Charts" sheetId="7" r:id="rId7"/>
    <sheet name="8. Indirect Sourcing" sheetId="8" r:id="rId8"/>
    <sheet name="UK Data" sheetId="9" state="hidden" r:id="rId9"/>
    <sheet name="Europe Data" sheetId="10" state="hidden" r:id="rId10"/>
    <sheet name="Global Data" sheetId="11" state="hidden" r:id="rId11"/>
    <sheet name="Indirect Data" sheetId="12" state="hidden" r:id="rId12"/>
    <sheet name="Material Comparison" sheetId="16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2" l="1"/>
  <c r="J8" i="16"/>
  <c r="I8" i="16"/>
  <c r="H8" i="16"/>
  <c r="J7" i="16"/>
  <c r="I7" i="16"/>
  <c r="H7" i="16"/>
  <c r="J6" i="16"/>
  <c r="I6" i="16"/>
  <c r="H6" i="16"/>
  <c r="J5" i="16"/>
  <c r="I5" i="16"/>
  <c r="H5" i="16"/>
  <c r="J4" i="16"/>
  <c r="I4" i="16"/>
  <c r="H4" i="16"/>
  <c r="J3" i="16"/>
  <c r="I3" i="16"/>
  <c r="H3" i="16"/>
  <c r="J2" i="16"/>
  <c r="I2" i="16"/>
  <c r="H2" i="16"/>
  <c r="G2" i="16"/>
  <c r="J5" i="11"/>
  <c r="F5" i="11"/>
  <c r="G5" i="11" s="1"/>
  <c r="J4" i="11"/>
  <c r="F4" i="11"/>
  <c r="G4" i="11" s="1"/>
  <c r="J3" i="11"/>
  <c r="F3" i="11"/>
  <c r="G3" i="11" s="1"/>
  <c r="H7" i="10"/>
  <c r="G7" i="10"/>
  <c r="F7" i="10"/>
  <c r="E7" i="10"/>
  <c r="H6" i="10"/>
  <c r="G6" i="10"/>
  <c r="F6" i="10"/>
  <c r="E6" i="10"/>
  <c r="H5" i="10"/>
  <c r="G5" i="10"/>
  <c r="F5" i="10"/>
  <c r="E5" i="10"/>
  <c r="P4" i="10"/>
  <c r="K4" i="10"/>
  <c r="J4" i="10"/>
  <c r="I4" i="10"/>
  <c r="H4" i="10"/>
  <c r="G4" i="10"/>
  <c r="F4" i="10"/>
  <c r="E4" i="10"/>
  <c r="H3" i="10"/>
  <c r="K3" i="10" s="1"/>
  <c r="G3" i="10"/>
  <c r="J3" i="10" s="1"/>
  <c r="F3" i="10"/>
  <c r="I3" i="10" s="1"/>
  <c r="E3" i="10"/>
  <c r="P3" i="10" s="1"/>
  <c r="F8" i="9"/>
  <c r="J8" i="9" s="1"/>
  <c r="E8" i="9"/>
  <c r="I8" i="9" s="1"/>
  <c r="D8" i="9"/>
  <c r="H8" i="9" s="1"/>
  <c r="F7" i="9"/>
  <c r="J7" i="9" s="1"/>
  <c r="E7" i="9"/>
  <c r="I7" i="9" s="1"/>
  <c r="D7" i="9"/>
  <c r="H7" i="9" s="1"/>
  <c r="F6" i="9"/>
  <c r="J6" i="9" s="1"/>
  <c r="E6" i="9"/>
  <c r="I6" i="9" s="1"/>
  <c r="D6" i="9"/>
  <c r="H6" i="9" s="1"/>
  <c r="F5" i="9"/>
  <c r="J5" i="9" s="1"/>
  <c r="E5" i="9"/>
  <c r="I5" i="9" s="1"/>
  <c r="D5" i="9"/>
  <c r="H5" i="9" s="1"/>
  <c r="F4" i="9"/>
  <c r="J4" i="9" s="1"/>
  <c r="E4" i="9"/>
  <c r="I4" i="9" s="1"/>
  <c r="D4" i="9"/>
  <c r="H4" i="9" s="1"/>
  <c r="F3" i="9"/>
  <c r="J3" i="9" s="1"/>
  <c r="E3" i="9"/>
  <c r="I3" i="9" s="1"/>
  <c r="D3" i="9"/>
  <c r="H3" i="9" s="1"/>
  <c r="D35" i="8"/>
  <c r="E35" i="8" s="1"/>
  <c r="C35" i="8"/>
  <c r="F35" i="8" s="1"/>
  <c r="D34" i="8"/>
  <c r="E34" i="8" s="1"/>
  <c r="C34" i="8"/>
  <c r="F34" i="8" s="1"/>
  <c r="E29" i="8"/>
  <c r="C33" i="8" s="1"/>
  <c r="F28" i="8"/>
  <c r="G28" i="8" s="1"/>
  <c r="F27" i="8"/>
  <c r="G27" i="8" s="1"/>
  <c r="C37" i="8" s="1"/>
  <c r="F26" i="8"/>
  <c r="G26" i="8" s="1"/>
  <c r="E22" i="8"/>
  <c r="E21" i="8"/>
  <c r="E20" i="8"/>
  <c r="D33" i="8" s="1"/>
  <c r="E33" i="8" s="1"/>
  <c r="F19" i="8"/>
  <c r="G19" i="8" s="1"/>
  <c r="G18" i="8"/>
  <c r="F18" i="8"/>
  <c r="F17" i="8"/>
  <c r="G17" i="8" s="1"/>
  <c r="F16" i="8"/>
  <c r="G16" i="8" s="1"/>
  <c r="F15" i="8"/>
  <c r="G15" i="8" s="1"/>
  <c r="B46" i="6"/>
  <c r="B43" i="7" s="1"/>
  <c r="B45" i="6"/>
  <c r="B42" i="7" s="1"/>
  <c r="B44" i="6"/>
  <c r="B41" i="7" s="1"/>
  <c r="B43" i="6"/>
  <c r="B40" i="7" s="1"/>
  <c r="B42" i="6"/>
  <c r="B39" i="7" s="1"/>
  <c r="B41" i="6"/>
  <c r="B38" i="7" s="1"/>
  <c r="B40" i="6"/>
  <c r="B37" i="7" s="1"/>
  <c r="B39" i="6"/>
  <c r="B36" i="7" s="1"/>
  <c r="B38" i="6"/>
  <c r="B35" i="7" s="1"/>
  <c r="B37" i="6"/>
  <c r="B34" i="7" s="1"/>
  <c r="B36" i="6"/>
  <c r="B33" i="7" s="1"/>
  <c r="B35" i="6"/>
  <c r="B32" i="7" s="1"/>
  <c r="B34" i="6"/>
  <c r="B31" i="7" s="1"/>
  <c r="B33" i="6"/>
  <c r="B30" i="7" s="1"/>
  <c r="E27" i="4"/>
  <c r="D27" i="4"/>
  <c r="F27" i="4" s="1"/>
  <c r="E26" i="4"/>
  <c r="D26" i="4"/>
  <c r="F26" i="4" s="1"/>
  <c r="E25" i="4"/>
  <c r="D25" i="4"/>
  <c r="F25" i="4" s="1"/>
  <c r="F18" i="4"/>
  <c r="D18" i="4"/>
  <c r="F17" i="4"/>
  <c r="D17" i="4"/>
  <c r="F16" i="4"/>
  <c r="D16" i="4"/>
  <c r="G10" i="4"/>
  <c r="F10" i="4"/>
  <c r="G18" i="4" s="1"/>
  <c r="I18" i="4" s="1"/>
  <c r="E10" i="4"/>
  <c r="G9" i="4"/>
  <c r="F9" i="4"/>
  <c r="G17" i="4" s="1"/>
  <c r="I17" i="4" s="1"/>
  <c r="E9" i="4"/>
  <c r="G8" i="4"/>
  <c r="F8" i="4"/>
  <c r="G16" i="4" s="1"/>
  <c r="E8" i="4"/>
  <c r="G33" i="3"/>
  <c r="E33" i="3"/>
  <c r="D33" i="3"/>
  <c r="F33" i="3" s="1"/>
  <c r="H33" i="3" s="1"/>
  <c r="G32" i="3"/>
  <c r="E32" i="3"/>
  <c r="D32" i="3"/>
  <c r="F32" i="3" s="1"/>
  <c r="H32" i="3" s="1"/>
  <c r="G31" i="3"/>
  <c r="E31" i="3"/>
  <c r="D31" i="3"/>
  <c r="F31" i="3" s="1"/>
  <c r="H31" i="3" s="1"/>
  <c r="G30" i="3"/>
  <c r="E30" i="3"/>
  <c r="D30" i="3"/>
  <c r="F30" i="3" s="1"/>
  <c r="H30" i="3" s="1"/>
  <c r="G29" i="3"/>
  <c r="E29" i="3"/>
  <c r="D29" i="3"/>
  <c r="F29" i="3" s="1"/>
  <c r="H29" i="3" s="1"/>
  <c r="H25" i="3"/>
  <c r="H24" i="3"/>
  <c r="H23" i="3"/>
  <c r="H22" i="3"/>
  <c r="D22" i="3"/>
  <c r="H21" i="3"/>
  <c r="D21" i="3"/>
  <c r="H20" i="3"/>
  <c r="D20" i="3"/>
  <c r="H19" i="3"/>
  <c r="D19" i="3"/>
  <c r="H18" i="3"/>
  <c r="D18" i="3"/>
  <c r="E12" i="3"/>
  <c r="E11" i="3"/>
  <c r="E10" i="3"/>
  <c r="I9" i="3"/>
  <c r="H9" i="3"/>
  <c r="G9" i="3"/>
  <c r="F9" i="3"/>
  <c r="I19" i="3" s="1"/>
  <c r="E9" i="3"/>
  <c r="I8" i="3"/>
  <c r="H8" i="3"/>
  <c r="G8" i="3"/>
  <c r="F8" i="3"/>
  <c r="I18" i="3" s="1"/>
  <c r="E8" i="3"/>
  <c r="E35" i="2"/>
  <c r="D35" i="2"/>
  <c r="F35" i="2" s="1"/>
  <c r="G13" i="5" s="1"/>
  <c r="E34" i="2"/>
  <c r="D34" i="2"/>
  <c r="F34" i="2" s="1"/>
  <c r="G12" i="5" s="1"/>
  <c r="E33" i="2"/>
  <c r="D33" i="2"/>
  <c r="F33" i="2" s="1"/>
  <c r="G11" i="5" s="1"/>
  <c r="F32" i="2"/>
  <c r="G10" i="5" s="1"/>
  <c r="E32" i="2"/>
  <c r="D32" i="2"/>
  <c r="E31" i="2"/>
  <c r="D31" i="2"/>
  <c r="F31" i="2" s="1"/>
  <c r="G9" i="5" s="1"/>
  <c r="E30" i="2"/>
  <c r="D30" i="2"/>
  <c r="F30" i="2" s="1"/>
  <c r="J26" i="2"/>
  <c r="I26" i="2"/>
  <c r="H26" i="2"/>
  <c r="J25" i="2"/>
  <c r="I25" i="2"/>
  <c r="H25" i="2"/>
  <c r="J24" i="2"/>
  <c r="I24" i="2"/>
  <c r="H24" i="2"/>
  <c r="D23" i="2"/>
  <c r="D22" i="2"/>
  <c r="D21" i="2"/>
  <c r="D20" i="2"/>
  <c r="D19" i="2"/>
  <c r="D18" i="2"/>
  <c r="G12" i="2"/>
  <c r="G23" i="2" s="1"/>
  <c r="M23" i="2" s="1"/>
  <c r="J13" i="5" s="1"/>
  <c r="F12" i="2"/>
  <c r="F23" i="2" s="1"/>
  <c r="L23" i="2" s="1"/>
  <c r="I13" i="5" s="1"/>
  <c r="E12" i="2"/>
  <c r="E23" i="2" s="1"/>
  <c r="K23" i="2" s="1"/>
  <c r="H13" i="5" s="1"/>
  <c r="G11" i="2"/>
  <c r="F11" i="2"/>
  <c r="F22" i="2" s="1"/>
  <c r="L22" i="2" s="1"/>
  <c r="I12" i="5" s="1"/>
  <c r="E11" i="2"/>
  <c r="E22" i="2" s="1"/>
  <c r="K22" i="2" s="1"/>
  <c r="H12" i="5" s="1"/>
  <c r="G10" i="2"/>
  <c r="G21" i="2" s="1"/>
  <c r="M21" i="2" s="1"/>
  <c r="J11" i="5" s="1"/>
  <c r="F10" i="2"/>
  <c r="F21" i="2" s="1"/>
  <c r="L21" i="2" s="1"/>
  <c r="I11" i="5" s="1"/>
  <c r="E10" i="2"/>
  <c r="E21" i="2" s="1"/>
  <c r="K21" i="2" s="1"/>
  <c r="H11" i="5" s="1"/>
  <c r="G9" i="2"/>
  <c r="G20" i="2" s="1"/>
  <c r="M20" i="2" s="1"/>
  <c r="J10" i="5" s="1"/>
  <c r="F9" i="2"/>
  <c r="F20" i="2" s="1"/>
  <c r="L20" i="2" s="1"/>
  <c r="I10" i="5" s="1"/>
  <c r="E9" i="2"/>
  <c r="E20" i="2" s="1"/>
  <c r="K20" i="2" s="1"/>
  <c r="H10" i="5" s="1"/>
  <c r="G8" i="2"/>
  <c r="G19" i="2" s="1"/>
  <c r="M19" i="2" s="1"/>
  <c r="J9" i="5" s="1"/>
  <c r="F8" i="2"/>
  <c r="F19" i="2" s="1"/>
  <c r="L19" i="2" s="1"/>
  <c r="I9" i="5" s="1"/>
  <c r="E8" i="2"/>
  <c r="E19" i="2" s="1"/>
  <c r="K19" i="2" s="1"/>
  <c r="H9" i="5" s="1"/>
  <c r="G7" i="2"/>
  <c r="G18" i="2" s="1"/>
  <c r="F7" i="2"/>
  <c r="F18" i="2" s="1"/>
  <c r="E7" i="2"/>
  <c r="E18" i="2" s="1"/>
  <c r="M22" i="2" l="1"/>
  <c r="J12" i="5" s="1"/>
  <c r="K12" i="5" s="1"/>
  <c r="D37" i="6" s="1"/>
  <c r="C34" i="7" s="1"/>
  <c r="I5" i="11"/>
  <c r="K5" i="11" s="1"/>
  <c r="H10" i="4"/>
  <c r="E18" i="4" s="1"/>
  <c r="I4" i="11"/>
  <c r="K4" i="11" s="1"/>
  <c r="H9" i="4"/>
  <c r="E17" i="4" s="1"/>
  <c r="I3" i="11"/>
  <c r="K3" i="11" s="1"/>
  <c r="H8" i="4"/>
  <c r="E16" i="4" s="1"/>
  <c r="I12" i="3"/>
  <c r="K7" i="10"/>
  <c r="J7" i="10"/>
  <c r="H12" i="3"/>
  <c r="I7" i="10"/>
  <c r="G12" i="3"/>
  <c r="P7" i="10"/>
  <c r="F12" i="3"/>
  <c r="I22" i="3" s="1"/>
  <c r="K6" i="10"/>
  <c r="I11" i="3"/>
  <c r="J6" i="10"/>
  <c r="H11" i="3"/>
  <c r="G11" i="3"/>
  <c r="I6" i="10"/>
  <c r="F11" i="3"/>
  <c r="I21" i="3" s="1"/>
  <c r="P6" i="10"/>
  <c r="K5" i="10"/>
  <c r="I10" i="3"/>
  <c r="J5" i="10"/>
  <c r="H10" i="3"/>
  <c r="I5" i="10"/>
  <c r="G10" i="3"/>
  <c r="P5" i="10"/>
  <c r="F10" i="3"/>
  <c r="I20" i="3" s="1"/>
  <c r="O4" i="10"/>
  <c r="S4" i="10" s="1"/>
  <c r="L9" i="3"/>
  <c r="G19" i="3" s="1"/>
  <c r="L19" i="3" s="1"/>
  <c r="J20" i="5" s="1"/>
  <c r="N4" i="10"/>
  <c r="R4" i="10" s="1"/>
  <c r="K9" i="3"/>
  <c r="F19" i="3" s="1"/>
  <c r="K19" i="3" s="1"/>
  <c r="I20" i="5" s="1"/>
  <c r="M4" i="10"/>
  <c r="Q4" i="10" s="1"/>
  <c r="J9" i="3"/>
  <c r="E19" i="3" s="1"/>
  <c r="J19" i="3" s="1"/>
  <c r="H20" i="5" s="1"/>
  <c r="K20" i="5" s="1"/>
  <c r="D40" i="6" s="1"/>
  <c r="C37" i="7" s="1"/>
  <c r="O3" i="10"/>
  <c r="S3" i="10" s="1"/>
  <c r="L8" i="3"/>
  <c r="G18" i="3" s="1"/>
  <c r="N3" i="10"/>
  <c r="R3" i="10" s="1"/>
  <c r="K8" i="3"/>
  <c r="F18" i="3" s="1"/>
  <c r="M3" i="10"/>
  <c r="Q3" i="10" s="1"/>
  <c r="J8" i="3"/>
  <c r="E18" i="3" s="1"/>
  <c r="G29" i="8"/>
  <c r="C38" i="8"/>
  <c r="G22" i="8"/>
  <c r="D37" i="8"/>
  <c r="G20" i="8"/>
  <c r="G21" i="8"/>
  <c r="D38" i="8"/>
  <c r="E38" i="8" s="1"/>
  <c r="F28" i="4"/>
  <c r="C15" i="6" s="1"/>
  <c r="C92" i="7" s="1"/>
  <c r="F29" i="4"/>
  <c r="F30" i="4"/>
  <c r="F19" i="4"/>
  <c r="F20" i="4"/>
  <c r="F21" i="4"/>
  <c r="I16" i="4"/>
  <c r="G19" i="4"/>
  <c r="G20" i="4"/>
  <c r="G21" i="4"/>
  <c r="H35" i="3"/>
  <c r="H34" i="3"/>
  <c r="C14" i="6" s="1"/>
  <c r="C91" i="7" s="1"/>
  <c r="H36" i="3"/>
  <c r="F36" i="2"/>
  <c r="C13" i="6" s="1"/>
  <c r="C90" i="7" s="1"/>
  <c r="F37" i="2"/>
  <c r="F38" i="2"/>
  <c r="G8" i="5"/>
  <c r="M18" i="2"/>
  <c r="G24" i="2"/>
  <c r="G25" i="2"/>
  <c r="G26" i="2"/>
  <c r="L18" i="2"/>
  <c r="F24" i="2"/>
  <c r="F25" i="2"/>
  <c r="F26" i="2"/>
  <c r="K18" i="2"/>
  <c r="E24" i="2"/>
  <c r="E25" i="2"/>
  <c r="E26" i="2"/>
  <c r="K11" i="5"/>
  <c r="D36" i="6" s="1"/>
  <c r="C33" i="7" s="1"/>
  <c r="F33" i="8"/>
  <c r="K13" i="5"/>
  <c r="D38" i="6" s="1"/>
  <c r="C35" i="7" s="1"/>
  <c r="K10" i="5"/>
  <c r="D35" i="6" s="1"/>
  <c r="C32" i="7" s="1"/>
  <c r="K9" i="5"/>
  <c r="D34" i="6" s="1"/>
  <c r="C31" i="7" s="1"/>
  <c r="H18" i="4" l="1"/>
  <c r="J18" i="4"/>
  <c r="H17" i="4"/>
  <c r="J17" i="4"/>
  <c r="H16" i="4"/>
  <c r="J16" i="4"/>
  <c r="E19" i="4"/>
  <c r="E21" i="4"/>
  <c r="E20" i="4"/>
  <c r="O7" i="10"/>
  <c r="S7" i="10" s="1"/>
  <c r="L12" i="3"/>
  <c r="G22" i="3" s="1"/>
  <c r="L22" i="3" s="1"/>
  <c r="J23" i="5" s="1"/>
  <c r="N7" i="10"/>
  <c r="R7" i="10" s="1"/>
  <c r="K12" i="3"/>
  <c r="F22" i="3" s="1"/>
  <c r="K22" i="3" s="1"/>
  <c r="I23" i="5" s="1"/>
  <c r="M7" i="10"/>
  <c r="Q7" i="10" s="1"/>
  <c r="J12" i="3"/>
  <c r="E22" i="3" s="1"/>
  <c r="J22" i="3" s="1"/>
  <c r="H23" i="5" s="1"/>
  <c r="K23" i="5" s="1"/>
  <c r="D43" i="6" s="1"/>
  <c r="C40" i="7" s="1"/>
  <c r="O6" i="10"/>
  <c r="S6" i="10" s="1"/>
  <c r="L11" i="3"/>
  <c r="G21" i="3" s="1"/>
  <c r="N6" i="10"/>
  <c r="R6" i="10" s="1"/>
  <c r="K11" i="3"/>
  <c r="F21" i="3" s="1"/>
  <c r="M6" i="10"/>
  <c r="Q6" i="10" s="1"/>
  <c r="J11" i="3"/>
  <c r="E21" i="3" s="1"/>
  <c r="O5" i="10"/>
  <c r="S5" i="10" s="1"/>
  <c r="L10" i="3"/>
  <c r="G20" i="3" s="1"/>
  <c r="N5" i="10"/>
  <c r="R5" i="10" s="1"/>
  <c r="K10" i="3"/>
  <c r="F20" i="3" s="1"/>
  <c r="K20" i="3" s="1"/>
  <c r="I21" i="5" s="1"/>
  <c r="M5" i="10"/>
  <c r="Q5" i="10" s="1"/>
  <c r="J10" i="3"/>
  <c r="E20" i="3" s="1"/>
  <c r="J20" i="3" s="1"/>
  <c r="H21" i="5" s="1"/>
  <c r="L18" i="3"/>
  <c r="K18" i="3"/>
  <c r="J18" i="3"/>
  <c r="C36" i="8"/>
  <c r="C26" i="6"/>
  <c r="C67" i="7" s="1"/>
  <c r="F37" i="8"/>
  <c r="E37" i="8"/>
  <c r="D36" i="8"/>
  <c r="E36" i="8" s="1"/>
  <c r="C27" i="6"/>
  <c r="I19" i="4"/>
  <c r="I20" i="4"/>
  <c r="I21" i="4"/>
  <c r="M24" i="2"/>
  <c r="E7" i="6" s="1"/>
  <c r="F90" i="7" s="1"/>
  <c r="M25" i="2"/>
  <c r="M26" i="2"/>
  <c r="J8" i="5"/>
  <c r="L24" i="2"/>
  <c r="D7" i="6" s="1"/>
  <c r="E90" i="7" s="1"/>
  <c r="L25" i="2"/>
  <c r="L26" i="2"/>
  <c r="I8" i="5"/>
  <c r="K24" i="2"/>
  <c r="C7" i="6" s="1"/>
  <c r="D90" i="7" s="1"/>
  <c r="K25" i="2"/>
  <c r="K26" i="2"/>
  <c r="H8" i="5"/>
  <c r="F38" i="8"/>
  <c r="I24" i="3"/>
  <c r="I23" i="3"/>
  <c r="I25" i="3"/>
  <c r="H31" i="5" l="1"/>
  <c r="I31" i="5"/>
  <c r="J31" i="5"/>
  <c r="H30" i="5"/>
  <c r="I30" i="5"/>
  <c r="J30" i="5"/>
  <c r="H19" i="4"/>
  <c r="H20" i="4"/>
  <c r="H21" i="4"/>
  <c r="J19" i="4"/>
  <c r="J20" i="4"/>
  <c r="J21" i="4"/>
  <c r="H29" i="5"/>
  <c r="I29" i="5"/>
  <c r="J29" i="5"/>
  <c r="L23" i="3"/>
  <c r="E8" i="6" s="1"/>
  <c r="F91" i="7" s="1"/>
  <c r="L24" i="3"/>
  <c r="J19" i="5"/>
  <c r="L25" i="3"/>
  <c r="K23" i="3"/>
  <c r="D8" i="6" s="1"/>
  <c r="E91" i="7" s="1"/>
  <c r="K24" i="3"/>
  <c r="K25" i="3"/>
  <c r="I19" i="5"/>
  <c r="J23" i="3"/>
  <c r="C8" i="6" s="1"/>
  <c r="D91" i="7" s="1"/>
  <c r="J24" i="3"/>
  <c r="J25" i="3"/>
  <c r="H19" i="5"/>
  <c r="D27" i="6"/>
  <c r="C28" i="6"/>
  <c r="C68" i="7"/>
  <c r="K8" i="5"/>
  <c r="F36" i="8"/>
  <c r="L21" i="3"/>
  <c r="J22" i="5" s="1"/>
  <c r="G25" i="3"/>
  <c r="K21" i="3"/>
  <c r="I22" i="5" s="1"/>
  <c r="K22" i="5" s="1"/>
  <c r="D42" i="6" s="1"/>
  <c r="C39" i="7" s="1"/>
  <c r="F25" i="3"/>
  <c r="F24" i="3"/>
  <c r="F23" i="3"/>
  <c r="J21" i="3"/>
  <c r="H22" i="5" s="1"/>
  <c r="E25" i="3"/>
  <c r="E23" i="3"/>
  <c r="E24" i="3"/>
  <c r="L20" i="3"/>
  <c r="J21" i="5" s="1"/>
  <c r="K21" i="5" s="1"/>
  <c r="D41" i="6" s="1"/>
  <c r="C38" i="7" s="1"/>
  <c r="G23" i="3"/>
  <c r="G24" i="3"/>
  <c r="C9" i="6" l="1"/>
  <c r="D92" i="7" s="1"/>
  <c r="D9" i="6"/>
  <c r="E92" i="7" s="1"/>
  <c r="E9" i="6"/>
  <c r="F92" i="7" s="1"/>
  <c r="K14" i="5"/>
  <c r="D33" i="6"/>
  <c r="C30" i="7" s="1"/>
  <c r="K30" i="5"/>
  <c r="D45" i="6" s="1"/>
  <c r="C42" i="7" s="1"/>
  <c r="K19" i="5"/>
  <c r="K29" i="5"/>
  <c r="K31" i="5"/>
  <c r="D46" i="6" s="1"/>
  <c r="C43" i="7" s="1"/>
  <c r="K36" i="5" l="1"/>
  <c r="C20" i="6"/>
  <c r="C6" i="7" s="1"/>
  <c r="K24" i="5"/>
  <c r="D39" i="6"/>
  <c r="C36" i="7" s="1"/>
  <c r="D44" i="6"/>
  <c r="C41" i="7" s="1"/>
  <c r="K32" i="5"/>
  <c r="K37" i="5" l="1"/>
  <c r="C21" i="6"/>
  <c r="C7" i="7" s="1"/>
  <c r="K38" i="5"/>
  <c r="C22" i="6"/>
  <c r="C8" i="7" s="1"/>
</calcChain>
</file>

<file path=xl/sharedStrings.xml><?xml version="1.0" encoding="utf-8"?>
<sst xmlns="http://schemas.openxmlformats.org/spreadsheetml/2006/main" count="774" uniqueCount="404">
  <si>
    <t>STONE SOURCING LIFECYCLE CARBON FOOTPRINT ANALYSIS</t>
  </si>
  <si>
    <t>Assumptions, Parameters &amp; Data Sources — UPDATED WITH QUARRY NAMES</t>
  </si>
  <si>
    <t>EMISSION FACTORS</t>
  </si>
  <si>
    <t>Parameter</t>
  </si>
  <si>
    <t>Value</t>
  </si>
  <si>
    <t>Unit</t>
  </si>
  <si>
    <t>Ecoinvent Datapoint</t>
  </si>
  <si>
    <t>Source / Notes</t>
  </si>
  <si>
    <t>Land Transport Carbon Factor (UK &amp; Europe)</t>
  </si>
  <si>
    <t>kgCO2e / tonne·km</t>
  </si>
  <si>
    <t>market for transport, freight, lorry, 16-32 metric ton, diesel, EURO 6</t>
  </si>
  <si>
    <t>Ecoinvent v3.x — European articulated lorry</t>
  </si>
  <si>
    <t>Land Transport Carbon Factor (Global / RoW)</t>
  </si>
  <si>
    <t>Ecoinvent v3.x — Rest of World articulated lorry</t>
  </si>
  <si>
    <t>Sea Transport Carbon Factor</t>
  </si>
  <si>
    <t>market for transport, freight, sea, container ship, heavy fuel oil</t>
  </si>
  <si>
    <t>Ecoinvent v3.x — Container ship (HFO)</t>
  </si>
  <si>
    <t>CONVERSION &amp; KEY PARAMETERS</t>
  </si>
  <si>
    <t>Notes</t>
  </si>
  <si>
    <t>Miles to Kilometres</t>
  </si>
  <si>
    <t>km/mile</t>
  </si>
  <si>
    <t>Exact conversion factor</t>
  </si>
  <si>
    <t>Miles to Kilometres (Simplified)</t>
  </si>
  <si>
    <t>Used for some port-to-site distances</t>
  </si>
  <si>
    <t>Functional Unit</t>
  </si>
  <si>
    <t>1 tonne</t>
  </si>
  <si>
    <t>tonne</t>
  </si>
  <si>
    <t>All values per tonne of stone transported</t>
  </si>
  <si>
    <t>Local Market Radius</t>
  </si>
  <si>
    <t>km</t>
  </si>
  <si>
    <t>Flat 50 km for local market deliveries</t>
  </si>
  <si>
    <t>Calais → Dover Sea Distance</t>
  </si>
  <si>
    <t>Short sea crossing (~18 nautical miles)</t>
  </si>
  <si>
    <t>Global Wholesaler-to-Site</t>
  </si>
  <si>
    <t>Standard 50 km for UK wholesaler leg</t>
  </si>
  <si>
    <t>TRANSPORT ROUTING ASSUMPTIONS</t>
  </si>
  <si>
    <t>Sourcing Region</t>
  </si>
  <si>
    <t>Routing Description</t>
  </si>
  <si>
    <t>UK Port</t>
  </si>
  <si>
    <t>Stones</t>
  </si>
  <si>
    <t>Distance Source</t>
  </si>
  <si>
    <t>UK</t>
  </si>
  <si>
    <t>Direct land transport: Quarry → Site</t>
  </si>
  <si>
    <t>N/A</t>
  </si>
  <si>
    <t>Google Maps / Rome2Rio</t>
  </si>
  <si>
    <t>Europe</t>
  </si>
  <si>
    <t>Quarry → Calais (road) → Dover (sea) → Site</t>
  </si>
  <si>
    <t>Dover</t>
  </si>
  <si>
    <t>Moleanos (SOLANCIS), Areniscas (Sierra de la Demanda), Burgundy (SETP), Jura (Franken-Schotter), Carrara (Campolonghi)</t>
  </si>
  <si>
    <t>Global (RoW)</t>
  </si>
  <si>
    <t>Quarry → Port (road) → Felixstowe (sea) → 50 km to Site</t>
  </si>
  <si>
    <t>Felixstowe</t>
  </si>
  <si>
    <t>Indian (ASI Industries, Kota), Chinese (Hong Fa, Changtai, Fujian), Brazilian (Altivo Pedras, Papagaios)</t>
  </si>
  <si>
    <t>Google Maps / SeaRoutes</t>
  </si>
  <si>
    <t>Indirect (Special)</t>
  </si>
  <si>
    <t>Brazil → China (processing) → UK. 5 transport legs.</t>
  </si>
  <si>
    <t>Brazilian Granite (Cachoeiro de Itapemirim → Shuitou processing → UK)</t>
  </si>
  <si>
    <t>SeaRoutes / Industry data</t>
  </si>
  <si>
    <t>QUARRY SOURCE REFERENCES</t>
  </si>
  <si>
    <t>Stone Product</t>
  </si>
  <si>
    <t>Company / Operator</t>
  </si>
  <si>
    <t>Quarry / Site</t>
  </si>
  <si>
    <t>Location</t>
  </si>
  <si>
    <t>Verification</t>
  </si>
  <si>
    <t>Portland Limestone</t>
  </si>
  <si>
    <t>Isle of Portland, Dorset</t>
  </si>
  <si>
    <t>Company website; Stone Specialist</t>
  </si>
  <si>
    <t>Yorkshire Sandstone</t>
  </si>
  <si>
    <t>A.D. Calvert Architectural Stone</t>
  </si>
  <si>
    <t>Witton Fell Quarry</t>
  </si>
  <si>
    <t>Leyburn, North Yorkshire</t>
  </si>
  <si>
    <t>calverts.co.uk</t>
  </si>
  <si>
    <t>Bath Stone</t>
  </si>
  <si>
    <t>Lovell Stone Group</t>
  </si>
  <si>
    <t>Hartham Park Mine</t>
  </si>
  <si>
    <t>Corsham, Wiltshire</t>
  </si>
  <si>
    <t>Cornish Granite</t>
  </si>
  <si>
    <t>De Lank Quarry Ltd</t>
  </si>
  <si>
    <t>De Lank Quarry</t>
  </si>
  <si>
    <t>St Breward, nr Bodmin, Cornwall</t>
  </si>
  <si>
    <t>delankquarry.co.uk</t>
  </si>
  <si>
    <t>Lake District Slate</t>
  </si>
  <si>
    <t>Burlington Stone</t>
  </si>
  <si>
    <t>Kirkby Quarry</t>
  </si>
  <si>
    <t>Kirkby-in-Furness, Cumbria</t>
  </si>
  <si>
    <t>Company website; industry sources</t>
  </si>
  <si>
    <t>Scottish Whinstone</t>
  </si>
  <si>
    <t>Tradstocks Ltd</t>
  </si>
  <si>
    <t>Whinstone quarries nr Stirling</t>
  </si>
  <si>
    <t>Thornhill, Stirling</t>
  </si>
  <si>
    <t>Company records</t>
  </si>
  <si>
    <t>Moleanos Limestone</t>
  </si>
  <si>
    <t>SOLANCIS</t>
  </si>
  <si>
    <t>Moleanos quarries</t>
  </si>
  <si>
    <t>Aljubarrota, Portugal</t>
  </si>
  <si>
    <t>solancis.com; Litosonline</t>
  </si>
  <si>
    <t>Areniscas Sandstone</t>
  </si>
  <si>
    <t>Areniscas Sierra de la Demanda S.L.</t>
  </si>
  <si>
    <t>Palacios / Quintanar quarries</t>
  </si>
  <si>
    <t>Burgos, Spain</t>
  </si>
  <si>
    <t>Burgundy Limestone</t>
  </si>
  <si>
    <t>SETP (Soc. d'Exploitation Travaux Publics)</t>
  </si>
  <si>
    <t>Comblanchien quarry</t>
  </si>
  <si>
    <t>Comblanchien, Côte-d'Or, France</t>
  </si>
  <si>
    <t>SETP records; Stone Specialist</t>
  </si>
  <si>
    <t>Jura Limestone</t>
  </si>
  <si>
    <t>Franken-Schotter GmbH &amp; Co. KG</t>
  </si>
  <si>
    <t>Dietfurt quarry</t>
  </si>
  <si>
    <t>Treuchtlingen-Dietfurt, Bavaria</t>
  </si>
  <si>
    <t>franken-schotter.de</t>
  </si>
  <si>
    <t>Carrara Marble</t>
  </si>
  <si>
    <t>Campolonghi S.p.A.</t>
  </si>
  <si>
    <t>La Facciata / Sponda quarries</t>
  </si>
  <si>
    <t>Torano, Carrara, Tuscany</t>
  </si>
  <si>
    <t>Company records; Stone-Ideas.com</t>
  </si>
  <si>
    <t>Indian Sandstone</t>
  </si>
  <si>
    <t>ASI Industries Ltd (est. 1945)</t>
  </si>
  <si>
    <t>Ramganjmandi quarry</t>
  </si>
  <si>
    <t>Chechat, Kota dist., Rajasthan</t>
  </si>
  <si>
    <t>BSE/NSE listed; CETEM</t>
  </si>
  <si>
    <t>Chinese Granite</t>
  </si>
  <si>
    <t>Hong Fa Stone Co., Ltd</t>
  </si>
  <si>
    <t>Lindun quarry zone</t>
  </si>
  <si>
    <t>Changtai, Zhangzhou, Fujian</t>
  </si>
  <si>
    <t>Industry records; Stone-Ideas.com</t>
  </si>
  <si>
    <t>Brazilian Slate</t>
  </si>
  <si>
    <t>Altivo Pedras Ltda</t>
  </si>
  <si>
    <t>Papagaios quarry</t>
  </si>
  <si>
    <t>Papagaios, Minas Gerais</t>
  </si>
  <si>
    <t>Company records; SlateHearth.com</t>
  </si>
  <si>
    <t>SCOPE &amp; METHODOLOGY NOTES</t>
  </si>
  <si>
    <t>1.</t>
  </si>
  <si>
    <t>Transport-related carbon emissions only (Modules A4 per EN 15978).</t>
  </si>
  <si>
    <t>2.</t>
  </si>
  <si>
    <t>Functional unit: 1 tonne of stone product delivered to site of use.</t>
  </si>
  <si>
    <t>3.</t>
  </si>
  <si>
    <t>UK: Direct land transport, no sea leg. Carbon factor: 0.1868 kgCO2e/t·km.</t>
  </si>
  <si>
    <t>4.</t>
  </si>
  <si>
    <t>Europe: All routed via Calais→Dover. Land: 0.1868, Sea: 0.0102 kgCO2e/t·km.</t>
  </si>
  <si>
    <t>5.</t>
  </si>
  <si>
    <t>Global: Deep-sea to Felixstowe + 50 km wholesaler-to-site. Land (RoW): 0.1979.</t>
  </si>
  <si>
    <t>6.</t>
  </si>
  <si>
    <t>Indirect Sourcing: Brazil→China→UK (5 legs). Verified real-world pattern.</t>
  </si>
  <si>
    <t>7.</t>
  </si>
  <si>
    <t>Weighted carbon footprint based on % sales to local, London, Manchester, Glasgow.</t>
  </si>
  <si>
    <t>8.</t>
  </si>
  <si>
    <t>Quarry names sourced from company websites, industry publications, and Google validation.</t>
  </si>
  <si>
    <t>9.</t>
  </si>
  <si>
    <t>Local market (50 km radius) section included for all sourcing regions.</t>
  </si>
  <si>
    <t>10.</t>
  </si>
  <si>
    <t>Methodology validated by independent auditor (meeting confirmed sound approach).</t>
  </si>
  <si>
    <t>UK STONE SOURCING — TRANSPORT CARBON FOOTPRINT</t>
  </si>
  <si>
    <t>Direct land transport from UK quarries to site of use  |  No sea transport</t>
  </si>
  <si>
    <t>A.  TRANSPORT DISTANCES</t>
  </si>
  <si>
    <t>Quarry Location</t>
  </si>
  <si>
    <t>Quarry → London
(km)</t>
  </si>
  <si>
    <t>Quarry → Manchester
(km)</t>
  </si>
  <si>
    <t>Quarry → Glasgow
(km)</t>
  </si>
  <si>
    <t>A.D. Calvert</t>
  </si>
  <si>
    <t>Witton Fell Quarry, Leyburn, N. Yorkshire</t>
  </si>
  <si>
    <t>Hartham Park Mine, Corsham, Wiltshire</t>
  </si>
  <si>
    <t>De Lank Quarry, St Breward, Cornwall</t>
  </si>
  <si>
    <t>Kirkby Quarry, Kirkby-in-Furness, Cumbria</t>
  </si>
  <si>
    <t>B.  CARBON FOOTPRINT CALCULATIONS (kgCO2e per tonne of stone)</t>
  </si>
  <si>
    <t>LAND TRANSPORT</t>
  </si>
  <si>
    <t>SEA TRANSPORT</t>
  </si>
  <si>
    <t>TOTAL CARBON FOOTPRINT</t>
  </si>
  <si>
    <t>Company</t>
  </si>
  <si>
    <t>Carbon Factor
(kgCO2e/t·km)</t>
  </si>
  <si>
    <t>London</t>
  </si>
  <si>
    <t>Manchester</t>
  </si>
  <si>
    <t>Glasgow</t>
  </si>
  <si>
    <t>Average</t>
  </si>
  <si>
    <t>Minimum</t>
  </si>
  <si>
    <t>Maximum</t>
  </si>
  <si>
    <t>C.  LOCAL MARKET — 50 km RADIUS (kgCO2e per tonne of stone)</t>
  </si>
  <si>
    <t>Local Distance
(km)</t>
  </si>
  <si>
    <t>Land CF
(kgCO2e/t)</t>
  </si>
  <si>
    <t>EUROPEAN STONE SOURCING — TRANSPORT CARBON FOOTPRINT</t>
  </si>
  <si>
    <t>All routes via Calais → Dover  |  Quarry → Calais (land) → Dover (short sea) → Site (land)</t>
  </si>
  <si>
    <t>DOVER → SITE (km)</t>
  </si>
  <si>
    <t>TOTAL LAND (km)</t>
  </si>
  <si>
    <t>Quarry / Routing</t>
  </si>
  <si>
    <t>Quarry → Calais
(km)</t>
  </si>
  <si>
    <t>Calais → Dover
(km)</t>
  </si>
  <si>
    <t>Aljubarrota → Calais → Dover</t>
  </si>
  <si>
    <t>Areniscas Sierra de la Demanda</t>
  </si>
  <si>
    <t>Burgos → Calais → Dover</t>
  </si>
  <si>
    <t>SETP</t>
  </si>
  <si>
    <t>Comblanchien → Calais → Dover</t>
  </si>
  <si>
    <t>Franken-Schotter GmbH</t>
  </si>
  <si>
    <t>Dietfurt → Calais → Dover</t>
  </si>
  <si>
    <t>Carrara → Calais → Dover</t>
  </si>
  <si>
    <t>Land Factor
(kgCO2e/t·km)</t>
  </si>
  <si>
    <t>Sea Factor
(kgCO2e/t·km)</t>
  </si>
  <si>
    <t>Sea Emissions</t>
  </si>
  <si>
    <t>Note: Local CF = 50 km final-mile from UK depot (excludes origin transport)</t>
  </si>
  <si>
    <t>Carbon Factor</t>
  </si>
  <si>
    <t>Local Land CF</t>
  </si>
  <si>
    <t>Sea CF
(Calais→Dover)</t>
  </si>
  <si>
    <t>Total Local CF</t>
  </si>
  <si>
    <t>GLOBAL STONE SOURCING — TRANSPORT CARBON FOOTPRINT</t>
  </si>
  <si>
    <t>Quarry → Export Port (land)  |  Deep-Sea → Felixstowe  |  50 km wholesaler-to-site leg</t>
  </si>
  <si>
    <t>Quarry → Port
(km)</t>
  </si>
  <si>
    <t>Sea Distance
(km)</t>
  </si>
  <si>
    <t>UK Land Leg
(km)</t>
  </si>
  <si>
    <t>Total Land
(km)</t>
  </si>
  <si>
    <t>ASI Industries Ltd</t>
  </si>
  <si>
    <t>Kota dist. → Mundra Port → Felixstowe</t>
  </si>
  <si>
    <t>Hong Fa Stone Co.</t>
  </si>
  <si>
    <t>Changtai → Xiamen Port → Felixstowe</t>
  </si>
  <si>
    <t>Altivo Pedras</t>
  </si>
  <si>
    <t>Papagaios → Vitória/TVV → Felixstowe</t>
  </si>
  <si>
    <t>TOTAL</t>
  </si>
  <si>
    <t>Land CF</t>
  </si>
  <si>
    <t>Sea Factor</t>
  </si>
  <si>
    <t>Sea CF</t>
  </si>
  <si>
    <t>Total Land</t>
  </si>
  <si>
    <t>Total Sea</t>
  </si>
  <si>
    <t>Total CF</t>
  </si>
  <si>
    <t>Note: Local CF = 50 km final-mile from UK wholesaler (excludes origin transport &amp; sea)</t>
  </si>
  <si>
    <t>WEIGHTED AVERAGE CARBON FOOTPRINT BY SALES DISTRIBUTION</t>
  </si>
  <si>
    <t>Carbon footprint weighted by percentage of sales to each destination</t>
  </si>
  <si>
    <t>UK STONES — WEIGHTED CARBON FOOTPRINT</t>
  </si>
  <si>
    <t>SALES WEIGHTING (%)</t>
  </si>
  <si>
    <t>CARBON FOOTPRINT (kgCO2e/t)</t>
  </si>
  <si>
    <t>Local
(50 km)</t>
  </si>
  <si>
    <t>Local CF</t>
  </si>
  <si>
    <t>London CF</t>
  </si>
  <si>
    <t>Manchester CF</t>
  </si>
  <si>
    <t>Glasgow CF</t>
  </si>
  <si>
    <t>Weighted
Average</t>
  </si>
  <si>
    <t>UK Weighted Average</t>
  </si>
  <si>
    <t>EUROPEAN IMPORTS — WEIGHTED CARBON FOOTPRINT</t>
  </si>
  <si>
    <t>Local</t>
  </si>
  <si>
    <t>n/a</t>
  </si>
  <si>
    <t>Europe Weighted Average</t>
  </si>
  <si>
    <t>GLOBAL IMPORTS — WEIGHTED CARBON FOOTPRINT</t>
  </si>
  <si>
    <t>Global Weighted Average</t>
  </si>
  <si>
    <t>REGIONAL WEIGHTED AVERAGE COMPARISON</t>
  </si>
  <si>
    <t>Region</t>
  </si>
  <si>
    <t>Weighted Avg
(kgCO2e/t)</t>
  </si>
  <si>
    <t>UK Stones</t>
  </si>
  <si>
    <t>European Imports</t>
  </si>
  <si>
    <t>Global Imports</t>
  </si>
  <si>
    <t>COMPARATIVE SUMMARY</t>
  </si>
  <si>
    <t>Unweighted, weighted, and indirect carbon footprint comparison</t>
  </si>
  <si>
    <t>A.  UNWEIGHTED REGIONAL AVERAGES (kgCO2e per tonne)</t>
  </si>
  <si>
    <t>Avg London</t>
  </si>
  <si>
    <t>Avg Manchester</t>
  </si>
  <si>
    <t>Avg Glasgow</t>
  </si>
  <si>
    <t>Global</t>
  </si>
  <si>
    <t>A2. LOCAL MARKET AVERAGES (50 km, kgCO2e per tonne)</t>
  </si>
  <si>
    <t>Avg Local CF</t>
  </si>
  <si>
    <t>UK (Local)</t>
  </si>
  <si>
    <t>Europe (Local)</t>
  </si>
  <si>
    <t>Global (Local)</t>
  </si>
  <si>
    <t>B.  WEIGHTED REGIONAL AVERAGES (kgCO2e per tonne)</t>
  </si>
  <si>
    <t>Weighted Average</t>
  </si>
  <si>
    <t>B2. INDIRECT SOURCING COMPARISON (kgCO2e per tonne)</t>
  </si>
  <si>
    <t>Route</t>
  </si>
  <si>
    <t>Total CF (kgCO2e/t)</t>
  </si>
  <si>
    <t>Carbon Premium</t>
  </si>
  <si>
    <t>Brazil → UK (Direct)</t>
  </si>
  <si>
    <t>Baseline</t>
  </si>
  <si>
    <t>Brazil → China → UK (Indirect)</t>
  </si>
  <si>
    <t>% Increase from Indirect Routing</t>
  </si>
  <si>
    <t>C.  ALL STONE PRODUCTS — WEIGHTED CARBON FOOTPRINT (kgCO2e per tonne)</t>
  </si>
  <si>
    <t>Weighted CF</t>
  </si>
  <si>
    <t>VISUAL ANALYSIS — CARBON FOOTPRINT COMPARISON</t>
  </si>
  <si>
    <t>Chart 1: Weighted Regional Averages</t>
  </si>
  <si>
    <t>Weighted Average (kgCO2e/t)</t>
  </si>
  <si>
    <t>Chart 2: All Products — Weighted CF</t>
  </si>
  <si>
    <t>Weighted kgCO2e</t>
  </si>
  <si>
    <t>Chart 3: Direct vs Indirect Sourcing (Brazil)</t>
  </si>
  <si>
    <t>Chart 4: Local (50km) vs Destination Average CF</t>
  </si>
  <si>
    <t>Local (50km)</t>
  </si>
  <si>
    <t>INDIRECT SOURCING — BRAZIL → CHINA → UK</t>
  </si>
  <si>
    <t>Stone quarried in Brazil, shipped to China for processing, then transported to UK</t>
  </si>
  <si>
    <t>STONE PRODUCT &amp; ROUTE</t>
  </si>
  <si>
    <t>Stone Type</t>
  </si>
  <si>
    <t>Brazilian Granite (representative example)</t>
  </si>
  <si>
    <t>Origin</t>
  </si>
  <si>
    <t>Cachoeiro de Itapemirim, Espírito Santo, Brazil</t>
  </si>
  <si>
    <t>Processing Hub</t>
  </si>
  <si>
    <t>Shuitou, Nan'an, Fujian, China (world's largest stone processing centre)</t>
  </si>
  <si>
    <t>UK Destination Port</t>
  </si>
  <si>
    <t>Route Verified</t>
  </si>
  <si>
    <t>Real-world pattern confirmed: Brazil exports US$260M+ stone to China annually</t>
  </si>
  <si>
    <t>A.  INDIRECT ROUTE: DISTANCE BREAKDOWN (Brazil → China → UK)</t>
  </si>
  <si>
    <t>Transport Leg</t>
  </si>
  <si>
    <t>Route Description</t>
  </si>
  <si>
    <t>Mode</t>
  </si>
  <si>
    <t>Distance
(km)</t>
  </si>
  <si>
    <t>CF
(kgCO2e/t)</t>
  </si>
  <si>
    <t>Leg 1: Brazil Land</t>
  </si>
  <si>
    <t>Cachoeiro de Itapemirim → Vitória/TVV</t>
  </si>
  <si>
    <t>Road</t>
  </si>
  <si>
    <t>Leg 2: Brazil→China Sea</t>
  </si>
  <si>
    <t>Vitória → Xiamen (Cape of Good Hope)</t>
  </si>
  <si>
    <t>Sea (10800 nm)</t>
  </si>
  <si>
    <t>Leg 3: China Processing</t>
  </si>
  <si>
    <t>Xiamen → Shuitou → Xiamen (round trip)</t>
  </si>
  <si>
    <t>Leg 4: China→UK Sea</t>
  </si>
  <si>
    <t>Xiamen → Felixstowe (Suez Canal)</t>
  </si>
  <si>
    <t>Sea (11371 nm)</t>
  </si>
  <si>
    <t>Leg 5: UK Land</t>
  </si>
  <si>
    <t>Felixstowe → Site of Use</t>
  </si>
  <si>
    <t>TOTAL — INDIRECT ROUTE</t>
  </si>
  <si>
    <t>of which: Land Transport</t>
  </si>
  <si>
    <t>of which: Sea Transport</t>
  </si>
  <si>
    <t>B.  DIRECT ROUTE: BRAZIL → UK (for comparison)</t>
  </si>
  <si>
    <t>Leg 2: Brazil→UK Sea</t>
  </si>
  <si>
    <t>Vitória → Felixstowe (direct Atlantic)</t>
  </si>
  <si>
    <t>Sea (~5,200 nm)</t>
  </si>
  <si>
    <t>Leg 3: UK Land</t>
  </si>
  <si>
    <t>TOTAL — DIRECT ROUTE</t>
  </si>
  <si>
    <t>C.  ROUTE COMPARISON — DIRECT vs INDIRECT</t>
  </si>
  <si>
    <t>Metric</t>
  </si>
  <si>
    <t>Direct
(Brazil→UK)</t>
  </si>
  <si>
    <t>Indirect
(Brazil→China→UK)</t>
  </si>
  <si>
    <t>Difference</t>
  </si>
  <si>
    <t>% Increase</t>
  </si>
  <si>
    <t>Total Distance (km)</t>
  </si>
  <si>
    <t>Total Sea Distance (km)</t>
  </si>
  <si>
    <t>Total Land Distance (km)</t>
  </si>
  <si>
    <t>Total Carbon Footprint (kgCO2e/t)</t>
  </si>
  <si>
    <t>Sea Carbon (kgCO2e/t)</t>
  </si>
  <si>
    <t>Land Carbon (kgCO2e/t)</t>
  </si>
  <si>
    <t>D.  KEY FINDINGS</t>
  </si>
  <si>
    <t>The indirect Brazil→China→UK route adds approximately 4× the total transport distance vs the direct route.</t>
  </si>
  <si>
    <t>Sea transport dominates both routes: ~99% of distance is sea-based, which is carbon-efficient (0.0102 kgCO2e/t·km).</t>
  </si>
  <si>
    <t>The additional sea distance of ~22,000 nm via China adds significant but not proportional carbon due to low sea emission factor.</t>
  </si>
  <si>
    <t>The China processing round trip (110 km by road) adds modest land transport carbon at the higher RoW factor.</t>
  </si>
  <si>
    <t>This scenario is a real-world pattern: Brazilian stone exports to China reached US$260M+ in 2025 (ABIROCHAS).</t>
  </si>
  <si>
    <t>Source: Shuitou (Nan'an, Fujian) processes 60%+ of China's stone exports to 140+ countries (Stone-Ideas.com).</t>
  </si>
  <si>
    <t>UK Stone Products — Updated with Quarry Names</t>
  </si>
  <si>
    <t>Stone</t>
  </si>
  <si>
    <t>London (mi)</t>
  </si>
  <si>
    <t>Manchester (mi)</t>
  </si>
  <si>
    <t>Glasgow (mi)</t>
  </si>
  <si>
    <t>CF London</t>
  </si>
  <si>
    <t>CF Manchester</t>
  </si>
  <si>
    <t>CF Glasgow</t>
  </si>
  <si>
    <t>Carbon Factor (kgCO2e/t·km)</t>
  </si>
  <si>
    <t>European Stone Products — Updated with Quarry Names</t>
  </si>
  <si>
    <t>Quarry→Calais (km)</t>
  </si>
  <si>
    <t>Sea (km)</t>
  </si>
  <si>
    <t>Dover→London</t>
  </si>
  <si>
    <t>Dover→Manchester</t>
  </si>
  <si>
    <t>Dover→Glasgow</t>
  </si>
  <si>
    <t>Total Land Lon</t>
  </si>
  <si>
    <t>Total Land Man</t>
  </si>
  <si>
    <t>Total Land Gla</t>
  </si>
  <si>
    <t>Land CF Lon</t>
  </si>
  <si>
    <t>Land CF Man</t>
  </si>
  <si>
    <t>Land CF Gla</t>
  </si>
  <si>
    <t>Total Lon</t>
  </si>
  <si>
    <t>Total Man</t>
  </si>
  <si>
    <t>Total Gla</t>
  </si>
  <si>
    <t>Moleanos, Aljubarrota, Portugal</t>
  </si>
  <si>
    <t>Palacios de la Sierra, Burgos, Spain</t>
  </si>
  <si>
    <t>Dietfurt, Bavaria, Germany</t>
  </si>
  <si>
    <t>Torano, Carrara, Tuscany, Italy</t>
  </si>
  <si>
    <t>Calais→Dover (km)</t>
  </si>
  <si>
    <t>Global Stone Products — Updated with Quarry Names</t>
  </si>
  <si>
    <t>Quarry→Port (km)</t>
  </si>
  <si>
    <t>UK Leg (km)</t>
  </si>
  <si>
    <t>Chechat, Ramganjmandi, Kota, Rajasthan</t>
  </si>
  <si>
    <t>Changtai County, Zhangzhou, Fujian</t>
  </si>
  <si>
    <t>Land CF RoW</t>
  </si>
  <si>
    <t>Brazil → China → UK Indirect Sourcing Route Data</t>
  </si>
  <si>
    <t>Leg</t>
  </si>
  <si>
    <t>Distance (km)</t>
  </si>
  <si>
    <t>Factor Region</t>
  </si>
  <si>
    <t>Cachoeiro de Itapemirim → Vitória/TVV Port</t>
  </si>
  <si>
    <t>land</t>
  </si>
  <si>
    <t>RoW</t>
  </si>
  <si>
    <t>Vitória → Xiamen (via Cape of Good Hope)</t>
  </si>
  <si>
    <t>sea</t>
  </si>
  <si>
    <t>Sea</t>
  </si>
  <si>
    <t>Leg 3: China Land (Processing)</t>
  </si>
  <si>
    <t>Xiamen Port → Shuitou, Nan'an (processing) → Xiamen Port</t>
  </si>
  <si>
    <t>Xiamen → Felixstowe (via Suez Canal)</t>
  </si>
  <si>
    <t>Direct Route: Brazil → UK</t>
  </si>
  <si>
    <t>UK Land Factor</t>
  </si>
  <si>
    <t>RoW Land Factor</t>
  </si>
  <si>
    <t>Product</t>
  </si>
  <si>
    <t>Achievable (kgCO2e/kg)</t>
  </si>
  <si>
    <t>Average (kgCO2e/kg)</t>
  </si>
  <si>
    <t>Conservative (kgCO2e/kg)</t>
  </si>
  <si>
    <t xml:space="preserve">
Material
</t>
  </si>
  <si>
    <t>G1:J8</t>
  </si>
  <si>
    <t>Precast concrete</t>
  </si>
  <si>
    <t>Ready-mix concrete</t>
  </si>
  <si>
    <t>Bricks</t>
  </si>
  <si>
    <t>Concrete masonry units</t>
  </si>
  <si>
    <t>Steel (structural)</t>
  </si>
  <si>
    <t>Timber (Framing)</t>
  </si>
  <si>
    <t>Portland (Albion Stone), Yorkshire (A.D. Calvert), Bath (Lovell Stone), Cornish (De Lank), Lake District (Burlington), Whinstone (Tradstocks)</t>
  </si>
  <si>
    <t>Albion Stone plc</t>
  </si>
  <si>
    <t>Stonehills Mine</t>
  </si>
  <si>
    <t>Albion Stone</t>
  </si>
  <si>
    <t>Stonehills Mine, Isle of Portland, Dorset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</si>
</sst>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000"/>
    <numFmt numFmtId="165" formatCode="0.00000"/>
    <numFmt numFmtId="166" formatCode="0.0%"/>
    <numFmt numFmtId="167" formatCode="\+#,##0.00;\-#,##0.00"/>
  </numFmts>
  <fonts count="25" x14ac:knownFonts="1">
    <font>
      <sz val="11"/>
      <color theme="1"/>
      <name val="Calibri"/>
      <family val="2"/>
      <scheme val="minor"/>
    </font>
    <font>
      <b/>
      <sz val="16"/>
      <color rgb="FF1B4332"/>
      <name val="Arial"/>
      <family val="2"/>
    </font>
    <font>
      <b/>
      <sz val="12"/>
      <color rgb="FF2D6A4F"/>
      <name val="Arial"/>
      <family val="2"/>
    </font>
    <font>
      <b/>
      <sz val="12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FFFFFF"/>
      <name val="Arial"/>
      <family val="2"/>
    </font>
    <font>
      <sz val="10"/>
      <color rgb="FF0000FF"/>
      <name val="Arial"/>
      <family val="2"/>
    </font>
    <font>
      <b/>
      <sz val="10"/>
      <color rgb="FF333333"/>
      <name val="Arial"/>
      <family val="2"/>
    </font>
    <font>
      <sz val="10"/>
      <color rgb="FF008000"/>
      <name val="Arial"/>
      <family val="2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i/>
      <sz val="9"/>
      <color rgb="FF004D40"/>
      <name val="Arial"/>
      <family val="2"/>
    </font>
    <font>
      <b/>
      <sz val="16"/>
      <color rgb="FFE65100"/>
      <name val="Arial"/>
      <family val="2"/>
    </font>
    <font>
      <b/>
      <sz val="12"/>
      <color rgb="FFBF360C"/>
      <name val="Arial"/>
      <family val="2"/>
    </font>
    <font>
      <b/>
      <sz val="11"/>
      <color rgb="FFE65100"/>
      <name val="Arial"/>
      <family val="2"/>
    </font>
    <font>
      <b/>
      <sz val="12"/>
      <color rgb="FFE65100"/>
      <name val="Arial"/>
      <family val="2"/>
    </font>
    <font>
      <b/>
      <sz val="10"/>
      <color rgb="FF6A1B9A"/>
      <name val="Arial"/>
      <family val="2"/>
    </font>
    <font>
      <b/>
      <sz val="11"/>
      <color rgb="FF6A1B9A"/>
      <name val="Arial"/>
      <family val="2"/>
    </font>
    <font>
      <b/>
      <sz val="12"/>
      <color rgb="FF6A1B9A"/>
      <name val="Arial"/>
      <family val="2"/>
    </font>
    <font>
      <b/>
      <sz val="16"/>
      <color rgb="FF6A1B9A"/>
      <name val="Arial"/>
      <family val="2"/>
    </font>
    <font>
      <b/>
      <sz val="12"/>
      <color rgb="FF9C27B0"/>
      <name val="Arial"/>
      <family val="2"/>
    </font>
    <font>
      <b/>
      <sz val="11"/>
      <color rgb="FF2D6A4F"/>
      <name val="Arial"/>
      <family val="2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40916C"/>
      </patternFill>
    </fill>
    <fill>
      <patternFill patternType="solid">
        <fgColor rgb="FF2D6A4F"/>
      </patternFill>
    </fill>
    <fill>
      <patternFill patternType="solid">
        <fgColor rgb="FFD8F3DC"/>
      </patternFill>
    </fill>
    <fill>
      <patternFill patternType="solid">
        <fgColor rgb="FF1B4332"/>
      </patternFill>
    </fill>
    <fill>
      <patternFill patternType="solid">
        <fgColor rgb="FFB7E4C7"/>
      </patternFill>
    </fill>
    <fill>
      <patternFill patternType="solid">
        <fgColor rgb="FF00897B"/>
      </patternFill>
    </fill>
    <fill>
      <patternFill patternType="solid">
        <fgColor rgb="FF4DB6AC"/>
      </patternFill>
    </fill>
    <fill>
      <patternFill patternType="solid">
        <fgColor rgb="FFE0F2F1"/>
      </patternFill>
    </fill>
    <fill>
      <patternFill patternType="solid">
        <fgColor rgb="FFB2DFDB"/>
      </patternFill>
    </fill>
    <fill>
      <patternFill patternType="solid">
        <fgColor rgb="FFFFE0B2"/>
      </patternFill>
    </fill>
    <fill>
      <patternFill patternType="solid">
        <fgColor rgb="FF6A1B9A"/>
      </patternFill>
    </fill>
    <fill>
      <patternFill patternType="solid">
        <fgColor rgb="FF9C27B0"/>
      </patternFill>
    </fill>
    <fill>
      <patternFill patternType="solid">
        <fgColor rgb="FFF3E5F5"/>
      </patternFill>
    </fill>
    <fill>
      <patternFill patternType="solid">
        <fgColor rgb="FFE1BEE7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6" fillId="4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4" fontId="8" fillId="4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64" fontId="8" fillId="4" borderId="1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 wrapText="1"/>
    </xf>
    <xf numFmtId="4" fontId="8" fillId="9" borderId="1" xfId="0" applyNumberFormat="1" applyFont="1" applyFill="1" applyBorder="1" applyAlignment="1">
      <alignment horizontal="center" vertical="center" wrapText="1"/>
    </xf>
    <xf numFmtId="164" fontId="8" fillId="9" borderId="1" xfId="0" applyNumberFormat="1" applyFont="1" applyFill="1" applyBorder="1" applyAlignment="1">
      <alignment horizontal="center" vertical="center" wrapText="1"/>
    </xf>
    <xf numFmtId="4" fontId="10" fillId="9" borderId="1" xfId="0" applyNumberFormat="1" applyFont="1" applyFill="1" applyBorder="1" applyAlignment="1">
      <alignment horizontal="center" vertical="center" wrapText="1"/>
    </xf>
    <xf numFmtId="166" fontId="6" fillId="4" borderId="1" xfId="0" applyNumberFormat="1" applyFont="1" applyFill="1" applyBorder="1" applyAlignment="1">
      <alignment horizontal="center" vertical="center" wrapText="1"/>
    </xf>
    <xf numFmtId="4" fontId="14" fillId="11" borderId="1" xfId="0" applyNumberFormat="1" applyFont="1" applyFill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4" fontId="15" fillId="11" borderId="1" xfId="0" applyNumberFormat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7" fillId="14" borderId="1" xfId="0" applyFont="1" applyFill="1" applyBorder="1" applyAlignment="1">
      <alignment horizontal="left" vertical="center" wrapText="1"/>
    </xf>
    <xf numFmtId="4" fontId="8" fillId="14" borderId="1" xfId="0" applyNumberFormat="1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167" fontId="16" fillId="0" borderId="1" xfId="0" applyNumberFormat="1" applyFont="1" applyBorder="1" applyAlignment="1">
      <alignment horizontal="center" vertical="center" wrapText="1"/>
    </xf>
    <xf numFmtId="166" fontId="17" fillId="15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4" fillId="14" borderId="1" xfId="0" applyFont="1" applyFill="1" applyBorder="1" applyAlignment="1">
      <alignment horizontal="left" vertical="center" wrapText="1"/>
    </xf>
    <xf numFmtId="3" fontId="6" fillId="14" borderId="1" xfId="0" applyNumberFormat="1" applyFont="1" applyFill="1" applyBorder="1" applyAlignment="1">
      <alignment horizontal="center" vertical="center" wrapText="1"/>
    </xf>
    <xf numFmtId="164" fontId="8" fillId="14" borderId="1" xfId="0" applyNumberFormat="1" applyFont="1" applyFill="1" applyBorder="1" applyAlignment="1">
      <alignment horizontal="center" vertical="center" wrapText="1"/>
    </xf>
    <xf numFmtId="4" fontId="10" fillId="14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17" fillId="15" borderId="1" xfId="0" applyFont="1" applyFill="1" applyBorder="1" applyAlignment="1">
      <alignment horizontal="left" vertical="center" wrapText="1"/>
    </xf>
    <xf numFmtId="0" fontId="4" fillId="15" borderId="1" xfId="0" applyFont="1" applyFill="1" applyBorder="1" applyAlignment="1">
      <alignment horizontal="center" vertical="center" wrapText="1"/>
    </xf>
    <xf numFmtId="3" fontId="17" fillId="15" borderId="1" xfId="0" applyNumberFormat="1" applyFont="1" applyFill="1" applyBorder="1" applyAlignment="1">
      <alignment horizontal="center" vertical="center" wrapText="1"/>
    </xf>
    <xf numFmtId="4" fontId="18" fillId="15" borderId="1" xfId="0" applyNumberFormat="1" applyFont="1" applyFill="1" applyBorder="1" applyAlignment="1">
      <alignment horizontal="center" vertical="center" wrapText="1"/>
    </xf>
    <xf numFmtId="3" fontId="7" fillId="14" borderId="1" xfId="0" applyNumberFormat="1" applyFont="1" applyFill="1" applyBorder="1" applyAlignment="1">
      <alignment horizontal="center" vertical="center" wrapText="1"/>
    </xf>
    <xf numFmtId="4" fontId="7" fillId="14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3" fontId="6" fillId="4" borderId="1" xfId="0" applyNumberFormat="1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left" vertical="center" wrapText="1"/>
    </xf>
    <xf numFmtId="3" fontId="21" fillId="6" borderId="1" xfId="0" applyNumberFormat="1" applyFont="1" applyFill="1" applyBorder="1" applyAlignment="1">
      <alignment horizontal="center" vertical="center" wrapText="1"/>
    </xf>
    <xf numFmtId="4" fontId="2" fillId="6" borderId="1" xfId="0" applyNumberFormat="1" applyFont="1" applyFill="1" applyBorder="1" applyAlignment="1">
      <alignment horizontal="center" vertical="center" wrapText="1"/>
    </xf>
    <xf numFmtId="167" fontId="16" fillId="14" borderId="1" xfId="0" applyNumberFormat="1" applyFont="1" applyFill="1" applyBorder="1" applyAlignment="1">
      <alignment horizontal="center" vertical="center" wrapText="1"/>
    </xf>
    <xf numFmtId="166" fontId="16" fillId="14" borderId="1" xfId="0" applyNumberFormat="1" applyFont="1" applyFill="1" applyBorder="1" applyAlignment="1">
      <alignment horizontal="center" vertical="center" wrapText="1"/>
    </xf>
    <xf numFmtId="166" fontId="16" fillId="0" borderId="1" xfId="0" applyNumberFormat="1" applyFont="1" applyBorder="1" applyAlignment="1">
      <alignment horizontal="center" vertical="center" wrapText="1"/>
    </xf>
    <xf numFmtId="0" fontId="7" fillId="14" borderId="1" xfId="0" applyFont="1" applyFill="1" applyBorder="1" applyAlignment="1">
      <alignment horizontal="right" vertical="center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1" fillId="0" borderId="1" xfId="0" applyFont="1" applyBorder="1" applyAlignment="1">
      <alignment horizontal="left" vertical="center" wrapText="1"/>
    </xf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3" fillId="12" borderId="1" xfId="0" applyFont="1" applyFill="1" applyBorder="1" applyAlignment="1">
      <alignment horizontal="left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4" fillId="14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Weighted Average Carbon Footprint by Region (kgCO2e/t)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'7. Charts'!$C$5</c:f>
              <c:strCache>
                <c:ptCount val="1"/>
                <c:pt idx="0">
                  <c:v>Weighted Average (kgCO2e/t)</c:v>
                </c:pt>
              </c:strCache>
            </c:strRef>
          </c:tx>
          <c:spPr>
            <a:solidFill>
              <a:srgbClr val="2D6A4F"/>
            </a:solidFill>
            <a:ln>
              <a:prstDash val="solid"/>
            </a:ln>
          </c:spPr>
          <c:invertIfNegative val="1"/>
          <c:cat>
            <c:strRef>
              <c:f>'7. Charts'!$B$6:$B$8</c:f>
              <c:strCache>
                <c:ptCount val="3"/>
                <c:pt idx="0">
                  <c:v>UK</c:v>
                </c:pt>
                <c:pt idx="1">
                  <c:v>Europe</c:v>
                </c:pt>
                <c:pt idx="2">
                  <c:v>Global</c:v>
                </c:pt>
              </c:strCache>
            </c:strRef>
          </c:cat>
          <c:val>
            <c:numRef>
              <c:f>'7. Charts'!$C$6:$C$8</c:f>
              <c:numCache>
                <c:formatCode>#,##0.00</c:formatCode>
                <c:ptCount val="3"/>
                <c:pt idx="0">
                  <c:v>25.0729704078657</c:v>
                </c:pt>
                <c:pt idx="1">
                  <c:v>308.55111571047684</c:v>
                </c:pt>
                <c:pt idx="2">
                  <c:v>297.60561161534332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8632-1840-AE40-05E6ED507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kgCO2e per tonne</a:t>
                </a:r>
              </a:p>
            </c:rich>
          </c:tx>
          <c:overlay val="1"/>
        </c:title>
        <c:numFmt formatCode="#,##0.0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All Stone Products — Weighted Carbon Footprint (kgCO2e/t)</a:t>
            </a:r>
          </a:p>
        </c:rich>
      </c:tx>
      <c:overlay val="1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'7. Charts'!$C$29</c:f>
              <c:strCache>
                <c:ptCount val="1"/>
                <c:pt idx="0">
                  <c:v>Weighted kgCO2e</c:v>
                </c:pt>
              </c:strCache>
            </c:strRef>
          </c:tx>
          <c:spPr>
            <a:solidFill>
              <a:srgbClr val="40916C"/>
            </a:solidFill>
            <a:ln>
              <a:prstDash val="solid"/>
            </a:ln>
          </c:spPr>
          <c:invertIfNegative val="1"/>
          <c:cat>
            <c:strRef>
              <c:f>'7. Charts'!$B$30:$B$43</c:f>
              <c:strCache>
                <c:ptCount val="14"/>
                <c:pt idx="0">
                  <c:v>Portland Limestone</c:v>
                </c:pt>
                <c:pt idx="1">
                  <c:v>Yorkshire Sandstone</c:v>
                </c:pt>
                <c:pt idx="2">
                  <c:v>Bath Stone</c:v>
                </c:pt>
                <c:pt idx="3">
                  <c:v>Cornish Granite</c:v>
                </c:pt>
                <c:pt idx="4">
                  <c:v>Lake District Slate</c:v>
                </c:pt>
                <c:pt idx="5">
                  <c:v>Scottish Whinstone</c:v>
                </c:pt>
                <c:pt idx="6">
                  <c:v>Moleanos Limestone</c:v>
                </c:pt>
                <c:pt idx="7">
                  <c:v>Areniscas Sandstone</c:v>
                </c:pt>
                <c:pt idx="8">
                  <c:v>Burgundy Limestone</c:v>
                </c:pt>
                <c:pt idx="9">
                  <c:v>Jura Limestone</c:v>
                </c:pt>
                <c:pt idx="10">
                  <c:v>Carrara Marble</c:v>
                </c:pt>
                <c:pt idx="11">
                  <c:v>Indian Sandstone</c:v>
                </c:pt>
                <c:pt idx="12">
                  <c:v>Chinese Granite</c:v>
                </c:pt>
                <c:pt idx="13">
                  <c:v>Brazilian Slate</c:v>
                </c:pt>
              </c:strCache>
            </c:strRef>
          </c:cat>
          <c:val>
            <c:numRef>
              <c:f>'7. Charts'!$C$30:$C$43</c:f>
              <c:numCache>
                <c:formatCode>#,##0.00</c:formatCode>
                <c:ptCount val="14"/>
                <c:pt idx="0">
                  <c:v>36.185438087857413</c:v>
                </c:pt>
                <c:pt idx="1">
                  <c:v>24.990102757727271</c:v>
                </c:pt>
                <c:pt idx="2">
                  <c:v>16.913376766128579</c:v>
                </c:pt>
                <c:pt idx="3">
                  <c:v>27.368833804743112</c:v>
                </c:pt>
                <c:pt idx="4">
                  <c:v>26.684414215527465</c:v>
                </c:pt>
                <c:pt idx="5">
                  <c:v>18.295656815210378</c:v>
                </c:pt>
                <c:pt idx="6">
                  <c:v>450.92490716247681</c:v>
                </c:pt>
                <c:pt idx="7">
                  <c:v>329.47744726247674</c:v>
                </c:pt>
                <c:pt idx="8">
                  <c:v>189.3457627624768</c:v>
                </c:pt>
                <c:pt idx="9">
                  <c:v>215.50367720247681</c:v>
                </c:pt>
                <c:pt idx="10">
                  <c:v>357.50378416247679</c:v>
                </c:pt>
                <c:pt idx="11">
                  <c:v>378.11312515582</c:v>
                </c:pt>
                <c:pt idx="12">
                  <c:v>235.42482747781</c:v>
                </c:pt>
                <c:pt idx="13">
                  <c:v>279.27888221239999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8BA2-B343-A545-E1664C64D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kgCO2e per tonne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Stone Product</a:t>
                </a:r>
              </a:p>
            </c:rich>
          </c:tx>
          <c:overlay val="1"/>
        </c:title>
        <c:numFmt formatCode="#,##0.0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Direct vs Indirect Sourcing — Carbon Footprint (kgCO2e/t)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'7. Charts'!$C$66</c:f>
              <c:strCache>
                <c:ptCount val="1"/>
                <c:pt idx="0">
                  <c:v>Total CF (kgCO2e/t)</c:v>
                </c:pt>
              </c:strCache>
            </c:strRef>
          </c:tx>
          <c:spPr>
            <a:solidFill>
              <a:srgbClr val="6A1B9A"/>
            </a:solidFill>
            <a:ln>
              <a:prstDash val="solid"/>
            </a:ln>
          </c:spPr>
          <c:invertIfNegative val="1"/>
          <c:cat>
            <c:strRef>
              <c:f>'7. Charts'!$B$67:$B$68</c:f>
              <c:strCache>
                <c:ptCount val="2"/>
                <c:pt idx="0">
                  <c:v>Brazil → UK (Direct)</c:v>
                </c:pt>
                <c:pt idx="1">
                  <c:v>Brazil → China → UK (Indirect)</c:v>
                </c:pt>
              </c:strCache>
            </c:strRef>
          </c:cat>
          <c:val>
            <c:numRef>
              <c:f>'7. Charts'!$C$67:$C$68</c:f>
              <c:numCache>
                <c:formatCode>#,##0.00</c:formatCode>
                <c:ptCount val="2"/>
                <c:pt idx="0">
                  <c:v>134.865001818</c:v>
                </c:pt>
                <c:pt idx="1">
                  <c:v>478.47127707700002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CEC7-DF47-B9DF-246D4F736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kgCO2e per tonne</a:t>
                </a:r>
              </a:p>
            </c:rich>
          </c:tx>
          <c:overlay val="1"/>
        </c:title>
        <c:numFmt formatCode="#,##0.0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Local (50km) vs Destination Carbon Footprint by Region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'7. Charts'!$C$89</c:f>
              <c:strCache>
                <c:ptCount val="1"/>
                <c:pt idx="0">
                  <c:v>Local (50km)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'7. Charts'!$B$90:$B$92</c:f>
              <c:strCache>
                <c:ptCount val="3"/>
                <c:pt idx="0">
                  <c:v>UK</c:v>
                </c:pt>
                <c:pt idx="1">
                  <c:v>Europe</c:v>
                </c:pt>
                <c:pt idx="2">
                  <c:v>Global</c:v>
                </c:pt>
              </c:strCache>
            </c:strRef>
          </c:cat>
          <c:val>
            <c:numRef>
              <c:f>'7. Charts'!$C$90:$C$92</c:f>
              <c:numCache>
                <c:formatCode>#,##0.00</c:formatCode>
                <c:ptCount val="3"/>
                <c:pt idx="0">
                  <c:v>9.3421122999999984</c:v>
                </c:pt>
                <c:pt idx="1">
                  <c:v>9.6902522060000003</c:v>
                </c:pt>
                <c:pt idx="2">
                  <c:v>9.8960959000000006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7F-C149-839F-95975EAFBCDF}"/>
            </c:ext>
          </c:extLst>
        </c:ser>
        <c:ser>
          <c:idx val="1"/>
          <c:order val="1"/>
          <c:tx>
            <c:strRef>
              <c:f>'7. Charts'!$D$89</c:f>
              <c:strCache>
                <c:ptCount val="1"/>
                <c:pt idx="0">
                  <c:v>Avg London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'7. Charts'!$B$90:$B$92</c:f>
              <c:strCache>
                <c:ptCount val="3"/>
                <c:pt idx="0">
                  <c:v>UK</c:v>
                </c:pt>
                <c:pt idx="1">
                  <c:v>Europe</c:v>
                </c:pt>
                <c:pt idx="2">
                  <c:v>Global</c:v>
                </c:pt>
              </c:strCache>
            </c:strRef>
          </c:cat>
          <c:val>
            <c:numRef>
              <c:f>'7. Charts'!$D$90:$D$92</c:f>
              <c:numCache>
                <c:formatCode>#,##0.00</c:formatCode>
                <c:ptCount val="3"/>
                <c:pt idx="0">
                  <c:v>73.318903393314542</c:v>
                </c:pt>
                <c:pt idx="1">
                  <c:v>247.06373737861972</c:v>
                </c:pt>
                <c:pt idx="2">
                  <c:v>297.60561161534332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7F-C149-839F-95975EAFBCDF}"/>
            </c:ext>
          </c:extLst>
        </c:ser>
        <c:ser>
          <c:idx val="2"/>
          <c:order val="2"/>
          <c:tx>
            <c:strRef>
              <c:f>'7. Charts'!$E$89</c:f>
              <c:strCache>
                <c:ptCount val="1"/>
                <c:pt idx="0">
                  <c:v>Avg Manchester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'7. Charts'!$B$90:$B$92</c:f>
              <c:strCache>
                <c:ptCount val="3"/>
                <c:pt idx="0">
                  <c:v>UK</c:v>
                </c:pt>
                <c:pt idx="1">
                  <c:v>Europe</c:v>
                </c:pt>
                <c:pt idx="2">
                  <c:v>Global</c:v>
                </c:pt>
              </c:strCache>
            </c:strRef>
          </c:cat>
          <c:val>
            <c:numRef>
              <c:f>'7. Charts'!$E$90:$E$92</c:f>
              <c:numCache>
                <c:formatCode>#,##0.00</c:formatCode>
                <c:ptCount val="3"/>
                <c:pt idx="0">
                  <c:v>57.298288773333333</c:v>
                </c:pt>
                <c:pt idx="1">
                  <c:v>310.20732067239999</c:v>
                </c:pt>
                <c:pt idx="2">
                  <c:v>297.60561161534332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7F-C149-839F-95975EAFBCDF}"/>
            </c:ext>
          </c:extLst>
        </c:ser>
        <c:ser>
          <c:idx val="3"/>
          <c:order val="3"/>
          <c:tx>
            <c:strRef>
              <c:f>'7. Charts'!$F$89</c:f>
              <c:strCache>
                <c:ptCount val="1"/>
                <c:pt idx="0">
                  <c:v>Avg Glasgow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'7. Charts'!$B$90:$B$92</c:f>
              <c:strCache>
                <c:ptCount val="3"/>
                <c:pt idx="0">
                  <c:v>UK</c:v>
                </c:pt>
                <c:pt idx="1">
                  <c:v>Europe</c:v>
                </c:pt>
                <c:pt idx="2">
                  <c:v>Global</c:v>
                </c:pt>
              </c:strCache>
            </c:strRef>
          </c:cat>
          <c:val>
            <c:numRef>
              <c:f>'7. Charts'!$F$90:$F$92</c:f>
              <c:numCache>
                <c:formatCode>#,##0.00</c:formatCode>
                <c:ptCount val="3"/>
                <c:pt idx="0">
                  <c:v>89.086382892799989</c:v>
                </c:pt>
                <c:pt idx="1">
                  <c:v>368.20315383080003</c:v>
                </c:pt>
                <c:pt idx="2">
                  <c:v>297.60561161534332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7F-C149-839F-95975EAFB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kgCO2e per tonne</a:t>
                </a:r>
              </a:p>
            </c:rich>
          </c:tx>
          <c:overlay val="1"/>
        </c:title>
        <c:numFmt formatCode="#,##0.0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9</xdr:row>
      <xdr:rowOff>0</xdr:rowOff>
    </xdr:from>
    <xdr:ext cx="7920000" cy="504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</xdr:col>
      <xdr:colOff>0</xdr:colOff>
      <xdr:row>44</xdr:row>
      <xdr:rowOff>0</xdr:rowOff>
    </xdr:from>
    <xdr:ext cx="10080000" cy="576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</xdr:col>
      <xdr:colOff>0</xdr:colOff>
      <xdr:row>69</xdr:row>
      <xdr:rowOff>0</xdr:rowOff>
    </xdr:from>
    <xdr:ext cx="7920000" cy="504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1</xdr:col>
      <xdr:colOff>0</xdr:colOff>
      <xdr:row>93</xdr:row>
      <xdr:rowOff>0</xdr:rowOff>
    </xdr:from>
    <xdr:ext cx="9360000" cy="5040000"/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B4332"/>
  </sheetPr>
  <dimension ref="B2:F54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I13" sqref="I13"/>
    </sheetView>
  </sheetViews>
  <sheetFormatPr baseColWidth="10" defaultColWidth="8.83203125" defaultRowHeight="15" x14ac:dyDescent="0.2"/>
  <cols>
    <col min="1" max="1" width="3" customWidth="1"/>
    <col min="2" max="2" width="42" customWidth="1"/>
    <col min="3" max="5" width="22" customWidth="1"/>
    <col min="6" max="6" width="60" customWidth="1"/>
  </cols>
  <sheetData>
    <row r="2" spans="2:6" x14ac:dyDescent="0.2">
      <c r="B2" s="71" t="s">
        <v>0</v>
      </c>
      <c r="C2" s="72"/>
      <c r="D2" s="72"/>
      <c r="E2" s="72"/>
      <c r="F2" s="72"/>
    </row>
    <row r="3" spans="2:6" x14ac:dyDescent="0.2">
      <c r="B3" s="76" t="s">
        <v>1</v>
      </c>
      <c r="C3" s="72"/>
      <c r="D3" s="72"/>
      <c r="E3" s="72"/>
      <c r="F3" s="72"/>
    </row>
    <row r="5" spans="2:6" x14ac:dyDescent="0.2">
      <c r="B5" s="73" t="s">
        <v>2</v>
      </c>
      <c r="C5" s="74"/>
      <c r="D5" s="74"/>
      <c r="E5" s="74"/>
      <c r="F5" s="74"/>
    </row>
    <row r="6" spans="2:6" x14ac:dyDescent="0.2"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</row>
    <row r="7" spans="2:6" ht="42" x14ac:dyDescent="0.2">
      <c r="B7" s="3" t="s">
        <v>8</v>
      </c>
      <c r="C7" s="4">
        <v>0.18684224599999999</v>
      </c>
      <c r="D7" s="5" t="s">
        <v>9</v>
      </c>
      <c r="E7" s="3" t="s">
        <v>10</v>
      </c>
      <c r="F7" s="3" t="s">
        <v>11</v>
      </c>
    </row>
    <row r="8" spans="2:6" ht="42" x14ac:dyDescent="0.2">
      <c r="B8" s="6" t="s">
        <v>12</v>
      </c>
      <c r="C8" s="7">
        <v>0.197921918</v>
      </c>
      <c r="D8" s="8" t="s">
        <v>9</v>
      </c>
      <c r="E8" s="6" t="s">
        <v>10</v>
      </c>
      <c r="F8" s="6" t="s">
        <v>13</v>
      </c>
    </row>
    <row r="9" spans="2:6" ht="42" x14ac:dyDescent="0.2">
      <c r="B9" s="3" t="s">
        <v>14</v>
      </c>
      <c r="C9" s="4">
        <v>1.0239409E-2</v>
      </c>
      <c r="D9" s="5" t="s">
        <v>9</v>
      </c>
      <c r="E9" s="3" t="s">
        <v>15</v>
      </c>
      <c r="F9" s="3" t="s">
        <v>16</v>
      </c>
    </row>
    <row r="11" spans="2:6" x14ac:dyDescent="0.2">
      <c r="B11" s="73" t="s">
        <v>17</v>
      </c>
      <c r="C11" s="74"/>
      <c r="D11" s="74"/>
      <c r="E11" s="74"/>
      <c r="F11" s="74"/>
    </row>
    <row r="12" spans="2:6" x14ac:dyDescent="0.2">
      <c r="B12" s="2" t="s">
        <v>3</v>
      </c>
      <c r="C12" s="2" t="s">
        <v>4</v>
      </c>
      <c r="D12" s="2" t="s">
        <v>5</v>
      </c>
      <c r="E12" s="2"/>
      <c r="F12" s="2" t="s">
        <v>18</v>
      </c>
    </row>
    <row r="13" spans="2:6" x14ac:dyDescent="0.2">
      <c r="B13" s="3" t="s">
        <v>19</v>
      </c>
      <c r="C13" s="9">
        <v>1.60934</v>
      </c>
      <c r="D13" s="5" t="s">
        <v>20</v>
      </c>
      <c r="E13" s="5"/>
      <c r="F13" s="3" t="s">
        <v>21</v>
      </c>
    </row>
    <row r="14" spans="2:6" x14ac:dyDescent="0.2">
      <c r="B14" s="6" t="s">
        <v>22</v>
      </c>
      <c r="C14" s="10">
        <v>1.6</v>
      </c>
      <c r="D14" s="8" t="s">
        <v>20</v>
      </c>
      <c r="E14" s="8"/>
      <c r="F14" s="6" t="s">
        <v>23</v>
      </c>
    </row>
    <row r="15" spans="2:6" x14ac:dyDescent="0.2">
      <c r="B15" s="3" t="s">
        <v>24</v>
      </c>
      <c r="C15" s="11" t="s">
        <v>25</v>
      </c>
      <c r="D15" s="5" t="s">
        <v>26</v>
      </c>
      <c r="E15" s="5"/>
      <c r="F15" s="3" t="s">
        <v>27</v>
      </c>
    </row>
    <row r="16" spans="2:6" x14ac:dyDescent="0.2">
      <c r="B16" s="6" t="s">
        <v>28</v>
      </c>
      <c r="C16" s="12">
        <v>50</v>
      </c>
      <c r="D16" s="8" t="s">
        <v>29</v>
      </c>
      <c r="E16" s="8"/>
      <c r="F16" s="6" t="s">
        <v>30</v>
      </c>
    </row>
    <row r="17" spans="2:6" x14ac:dyDescent="0.2">
      <c r="B17" s="3" t="s">
        <v>31</v>
      </c>
      <c r="C17" s="11">
        <v>34</v>
      </c>
      <c r="D17" s="5" t="s">
        <v>29</v>
      </c>
      <c r="E17" s="5"/>
      <c r="F17" s="3" t="s">
        <v>32</v>
      </c>
    </row>
    <row r="18" spans="2:6" x14ac:dyDescent="0.2">
      <c r="B18" s="6" t="s">
        <v>33</v>
      </c>
      <c r="C18" s="12">
        <v>50</v>
      </c>
      <c r="D18" s="8" t="s">
        <v>29</v>
      </c>
      <c r="E18" s="8"/>
      <c r="F18" s="6" t="s">
        <v>34</v>
      </c>
    </row>
    <row r="20" spans="2:6" x14ac:dyDescent="0.2">
      <c r="B20" s="73" t="s">
        <v>35</v>
      </c>
      <c r="C20" s="74"/>
      <c r="D20" s="74"/>
      <c r="E20" s="74"/>
      <c r="F20" s="74"/>
    </row>
    <row r="21" spans="2:6" x14ac:dyDescent="0.2">
      <c r="B21" s="2" t="s">
        <v>36</v>
      </c>
      <c r="C21" s="2" t="s">
        <v>37</v>
      </c>
      <c r="D21" s="2" t="s">
        <v>38</v>
      </c>
      <c r="E21" s="2" t="s">
        <v>39</v>
      </c>
      <c r="F21" s="2" t="s">
        <v>40</v>
      </c>
    </row>
    <row r="22" spans="2:6" ht="84" x14ac:dyDescent="0.2">
      <c r="B22" s="13" t="s">
        <v>41</v>
      </c>
      <c r="C22" s="3" t="s">
        <v>42</v>
      </c>
      <c r="D22" s="5" t="s">
        <v>43</v>
      </c>
      <c r="E22" s="3" t="s">
        <v>399</v>
      </c>
      <c r="F22" s="3" t="s">
        <v>44</v>
      </c>
    </row>
    <row r="23" spans="2:6" ht="84" x14ac:dyDescent="0.2">
      <c r="B23" s="14" t="s">
        <v>45</v>
      </c>
      <c r="C23" s="6" t="s">
        <v>46</v>
      </c>
      <c r="D23" s="8" t="s">
        <v>47</v>
      </c>
      <c r="E23" s="6" t="s">
        <v>48</v>
      </c>
      <c r="F23" s="6" t="s">
        <v>44</v>
      </c>
    </row>
    <row r="24" spans="2:6" ht="70" x14ac:dyDescent="0.2">
      <c r="B24" s="13" t="s">
        <v>49</v>
      </c>
      <c r="C24" s="3" t="s">
        <v>50</v>
      </c>
      <c r="D24" s="5" t="s">
        <v>51</v>
      </c>
      <c r="E24" s="3" t="s">
        <v>52</v>
      </c>
      <c r="F24" s="3" t="s">
        <v>53</v>
      </c>
    </row>
    <row r="25" spans="2:6" ht="56" x14ac:dyDescent="0.2">
      <c r="B25" s="14" t="s">
        <v>54</v>
      </c>
      <c r="C25" s="6" t="s">
        <v>55</v>
      </c>
      <c r="D25" s="8" t="s">
        <v>51</v>
      </c>
      <c r="E25" s="6" t="s">
        <v>56</v>
      </c>
      <c r="F25" s="6" t="s">
        <v>57</v>
      </c>
    </row>
    <row r="27" spans="2:6" x14ac:dyDescent="0.2">
      <c r="B27" s="73" t="s">
        <v>58</v>
      </c>
      <c r="C27" s="74"/>
      <c r="D27" s="74"/>
      <c r="E27" s="74"/>
      <c r="F27" s="74"/>
    </row>
    <row r="28" spans="2:6" x14ac:dyDescent="0.2">
      <c r="B28" s="2" t="s">
        <v>59</v>
      </c>
      <c r="C28" s="2" t="s">
        <v>60</v>
      </c>
      <c r="D28" s="2" t="s">
        <v>61</v>
      </c>
      <c r="E28" s="2" t="s">
        <v>62</v>
      </c>
      <c r="F28" s="2" t="s">
        <v>63</v>
      </c>
    </row>
    <row r="29" spans="2:6" x14ac:dyDescent="0.2">
      <c r="B29" s="13" t="s">
        <v>64</v>
      </c>
      <c r="C29" s="3" t="s">
        <v>400</v>
      </c>
      <c r="D29" s="3" t="s">
        <v>401</v>
      </c>
      <c r="E29" s="3" t="s">
        <v>65</v>
      </c>
      <c r="F29" s="3" t="s">
        <v>66</v>
      </c>
    </row>
    <row r="30" spans="2:6" ht="28" x14ac:dyDescent="0.2">
      <c r="B30" s="14" t="s">
        <v>67</v>
      </c>
      <c r="C30" s="6" t="s">
        <v>68</v>
      </c>
      <c r="D30" s="6" t="s">
        <v>69</v>
      </c>
      <c r="E30" s="6" t="s">
        <v>70</v>
      </c>
      <c r="F30" s="6" t="s">
        <v>71</v>
      </c>
    </row>
    <row r="31" spans="2:6" x14ac:dyDescent="0.2">
      <c r="B31" s="13" t="s">
        <v>72</v>
      </c>
      <c r="C31" s="3" t="s">
        <v>73</v>
      </c>
      <c r="D31" s="3" t="s">
        <v>74</v>
      </c>
      <c r="E31" s="3" t="s">
        <v>75</v>
      </c>
      <c r="F31" s="3" t="s">
        <v>66</v>
      </c>
    </row>
    <row r="32" spans="2:6" ht="28" x14ac:dyDescent="0.2">
      <c r="B32" s="14" t="s">
        <v>76</v>
      </c>
      <c r="C32" s="6" t="s">
        <v>77</v>
      </c>
      <c r="D32" s="6" t="s">
        <v>78</v>
      </c>
      <c r="E32" s="6" t="s">
        <v>79</v>
      </c>
      <c r="F32" s="6" t="s">
        <v>80</v>
      </c>
    </row>
    <row r="33" spans="2:6" x14ac:dyDescent="0.2">
      <c r="B33" s="13" t="s">
        <v>81</v>
      </c>
      <c r="C33" s="3" t="s">
        <v>82</v>
      </c>
      <c r="D33" s="3" t="s">
        <v>83</v>
      </c>
      <c r="E33" s="3" t="s">
        <v>84</v>
      </c>
      <c r="F33" s="3" t="s">
        <v>85</v>
      </c>
    </row>
    <row r="34" spans="2:6" ht="28" x14ac:dyDescent="0.2">
      <c r="B34" s="14" t="s">
        <v>86</v>
      </c>
      <c r="C34" s="6" t="s">
        <v>87</v>
      </c>
      <c r="D34" s="6" t="s">
        <v>88</v>
      </c>
      <c r="E34" s="6" t="s">
        <v>89</v>
      </c>
      <c r="F34" s="6" t="s">
        <v>90</v>
      </c>
    </row>
    <row r="35" spans="2:6" x14ac:dyDescent="0.2">
      <c r="B35" s="13" t="s">
        <v>91</v>
      </c>
      <c r="C35" s="3" t="s">
        <v>92</v>
      </c>
      <c r="D35" s="3" t="s">
        <v>93</v>
      </c>
      <c r="E35" s="3" t="s">
        <v>94</v>
      </c>
      <c r="F35" s="3" t="s">
        <v>95</v>
      </c>
    </row>
    <row r="36" spans="2:6" ht="28" x14ac:dyDescent="0.2">
      <c r="B36" s="14" t="s">
        <v>96</v>
      </c>
      <c r="C36" s="6" t="s">
        <v>97</v>
      </c>
      <c r="D36" s="6" t="s">
        <v>98</v>
      </c>
      <c r="E36" s="6" t="s">
        <v>99</v>
      </c>
      <c r="F36" s="6" t="s">
        <v>90</v>
      </c>
    </row>
    <row r="37" spans="2:6" ht="28" x14ac:dyDescent="0.2">
      <c r="B37" s="13" t="s">
        <v>100</v>
      </c>
      <c r="C37" s="3" t="s">
        <v>101</v>
      </c>
      <c r="D37" s="3" t="s">
        <v>102</v>
      </c>
      <c r="E37" s="3" t="s">
        <v>103</v>
      </c>
      <c r="F37" s="3" t="s">
        <v>104</v>
      </c>
    </row>
    <row r="38" spans="2:6" ht="28" x14ac:dyDescent="0.2">
      <c r="B38" s="14" t="s">
        <v>105</v>
      </c>
      <c r="C38" s="6" t="s">
        <v>106</v>
      </c>
      <c r="D38" s="6" t="s">
        <v>107</v>
      </c>
      <c r="E38" s="6" t="s">
        <v>108</v>
      </c>
      <c r="F38" s="6" t="s">
        <v>109</v>
      </c>
    </row>
    <row r="39" spans="2:6" ht="28" x14ac:dyDescent="0.2">
      <c r="B39" s="13" t="s">
        <v>110</v>
      </c>
      <c r="C39" s="3" t="s">
        <v>111</v>
      </c>
      <c r="D39" s="3" t="s">
        <v>112</v>
      </c>
      <c r="E39" s="3" t="s">
        <v>113</v>
      </c>
      <c r="F39" s="3" t="s">
        <v>114</v>
      </c>
    </row>
    <row r="40" spans="2:6" ht="28" x14ac:dyDescent="0.2">
      <c r="B40" s="14" t="s">
        <v>115</v>
      </c>
      <c r="C40" s="6" t="s">
        <v>116</v>
      </c>
      <c r="D40" s="6" t="s">
        <v>117</v>
      </c>
      <c r="E40" s="6" t="s">
        <v>118</v>
      </c>
      <c r="F40" s="6" t="s">
        <v>119</v>
      </c>
    </row>
    <row r="41" spans="2:6" ht="28" x14ac:dyDescent="0.2">
      <c r="B41" s="13" t="s">
        <v>120</v>
      </c>
      <c r="C41" s="3" t="s">
        <v>121</v>
      </c>
      <c r="D41" s="3" t="s">
        <v>122</v>
      </c>
      <c r="E41" s="3" t="s">
        <v>123</v>
      </c>
      <c r="F41" s="3" t="s">
        <v>124</v>
      </c>
    </row>
    <row r="42" spans="2:6" x14ac:dyDescent="0.2">
      <c r="B42" s="14" t="s">
        <v>125</v>
      </c>
      <c r="C42" s="6" t="s">
        <v>126</v>
      </c>
      <c r="D42" s="6" t="s">
        <v>127</v>
      </c>
      <c r="E42" s="6" t="s">
        <v>128</v>
      </c>
      <c r="F42" s="6" t="s">
        <v>129</v>
      </c>
    </row>
    <row r="44" spans="2:6" x14ac:dyDescent="0.2">
      <c r="B44" s="73" t="s">
        <v>130</v>
      </c>
      <c r="C44" s="74"/>
      <c r="D44" s="74"/>
      <c r="E44" s="74"/>
      <c r="F44" s="74"/>
    </row>
    <row r="45" spans="2:6" x14ac:dyDescent="0.2">
      <c r="B45" s="15" t="s">
        <v>131</v>
      </c>
      <c r="C45" s="75" t="s">
        <v>132</v>
      </c>
      <c r="D45" s="72"/>
      <c r="E45" s="72"/>
      <c r="F45" s="72"/>
    </row>
    <row r="46" spans="2:6" x14ac:dyDescent="0.2">
      <c r="B46" s="15" t="s">
        <v>133</v>
      </c>
      <c r="C46" s="75" t="s">
        <v>134</v>
      </c>
      <c r="D46" s="72"/>
      <c r="E46" s="72"/>
      <c r="F46" s="72"/>
    </row>
    <row r="47" spans="2:6" x14ac:dyDescent="0.2">
      <c r="B47" s="15" t="s">
        <v>135</v>
      </c>
      <c r="C47" s="75" t="s">
        <v>136</v>
      </c>
      <c r="D47" s="72"/>
      <c r="E47" s="72"/>
      <c r="F47" s="72"/>
    </row>
    <row r="48" spans="2:6" x14ac:dyDescent="0.2">
      <c r="B48" s="15" t="s">
        <v>137</v>
      </c>
      <c r="C48" s="75" t="s">
        <v>138</v>
      </c>
      <c r="D48" s="72"/>
      <c r="E48" s="72"/>
      <c r="F48" s="72"/>
    </row>
    <row r="49" spans="2:6" x14ac:dyDescent="0.2">
      <c r="B49" s="15" t="s">
        <v>139</v>
      </c>
      <c r="C49" s="75" t="s">
        <v>140</v>
      </c>
      <c r="D49" s="72"/>
      <c r="E49" s="72"/>
      <c r="F49" s="72"/>
    </row>
    <row r="50" spans="2:6" x14ac:dyDescent="0.2">
      <c r="B50" s="15" t="s">
        <v>141</v>
      </c>
      <c r="C50" s="75" t="s">
        <v>142</v>
      </c>
      <c r="D50" s="72"/>
      <c r="E50" s="72"/>
      <c r="F50" s="72"/>
    </row>
    <row r="51" spans="2:6" x14ac:dyDescent="0.2">
      <c r="B51" s="15" t="s">
        <v>143</v>
      </c>
      <c r="C51" s="75" t="s">
        <v>144</v>
      </c>
      <c r="D51" s="72"/>
      <c r="E51" s="72"/>
      <c r="F51" s="72"/>
    </row>
    <row r="52" spans="2:6" x14ac:dyDescent="0.2">
      <c r="B52" s="15" t="s">
        <v>145</v>
      </c>
      <c r="C52" s="75" t="s">
        <v>146</v>
      </c>
      <c r="D52" s="72"/>
      <c r="E52" s="72"/>
      <c r="F52" s="72"/>
    </row>
    <row r="53" spans="2:6" x14ac:dyDescent="0.2">
      <c r="B53" s="15" t="s">
        <v>147</v>
      </c>
      <c r="C53" s="75" t="s">
        <v>148</v>
      </c>
      <c r="D53" s="72"/>
      <c r="E53" s="72"/>
      <c r="F53" s="72"/>
    </row>
    <row r="54" spans="2:6" x14ac:dyDescent="0.2">
      <c r="B54" s="15" t="s">
        <v>149</v>
      </c>
      <c r="C54" s="75" t="s">
        <v>150</v>
      </c>
      <c r="D54" s="72"/>
      <c r="E54" s="72"/>
      <c r="F54" s="72"/>
    </row>
  </sheetData>
  <sheetProtection algorithmName="SHA-512" hashValue="fbNAkzR3qv5FsHKs5llpXdN5INHrypmZvLiFyjfNw4gLeOoBllF9cxhGluNm7iKH+swUQmeYHjpDq10PSKZFLw==" saltValue="SN4Iw2/wYJ5EfQvf3z0JAQ==" spinCount="100000" sheet="1" objects="1" scenarios="1"/>
  <mergeCells count="17">
    <mergeCell ref="C54:F54"/>
    <mergeCell ref="C51:F51"/>
    <mergeCell ref="C47:F47"/>
    <mergeCell ref="B27:F27"/>
    <mergeCell ref="C50:F50"/>
    <mergeCell ref="C52:F52"/>
    <mergeCell ref="C53:F53"/>
    <mergeCell ref="B2:F2"/>
    <mergeCell ref="B20:F20"/>
    <mergeCell ref="C49:F49"/>
    <mergeCell ref="B11:F11"/>
    <mergeCell ref="B3:F3"/>
    <mergeCell ref="B5:F5"/>
    <mergeCell ref="C46:F46"/>
    <mergeCell ref="B44:F44"/>
    <mergeCell ref="C45:F45"/>
    <mergeCell ref="C48:F48"/>
  </mergeCells>
  <pageMargins left="0.75" right="0.75" top="1" bottom="1" header="0.5" footer="0.5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6"/>
  <sheetViews>
    <sheetView workbookViewId="0"/>
  </sheetViews>
  <sheetFormatPr baseColWidth="10" defaultColWidth="8.83203125" defaultRowHeight="15" x14ac:dyDescent="0.2"/>
  <sheetData>
    <row r="1" spans="1:19" x14ac:dyDescent="0.2">
      <c r="A1" t="s">
        <v>345</v>
      </c>
    </row>
    <row r="2" spans="1:19" x14ac:dyDescent="0.2">
      <c r="A2" t="s">
        <v>337</v>
      </c>
      <c r="B2" t="s">
        <v>167</v>
      </c>
      <c r="C2" t="s">
        <v>62</v>
      </c>
      <c r="D2" t="s">
        <v>346</v>
      </c>
      <c r="E2" t="s">
        <v>347</v>
      </c>
      <c r="F2" t="s">
        <v>348</v>
      </c>
      <c r="G2" t="s">
        <v>349</v>
      </c>
      <c r="H2" t="s">
        <v>350</v>
      </c>
      <c r="I2" t="s">
        <v>351</v>
      </c>
      <c r="J2" t="s">
        <v>352</v>
      </c>
      <c r="K2" t="s">
        <v>353</v>
      </c>
      <c r="M2" t="s">
        <v>354</v>
      </c>
      <c r="N2" t="s">
        <v>355</v>
      </c>
      <c r="O2" t="s">
        <v>356</v>
      </c>
      <c r="P2" t="s">
        <v>216</v>
      </c>
      <c r="Q2" t="s">
        <v>357</v>
      </c>
      <c r="R2" t="s">
        <v>358</v>
      </c>
      <c r="S2" t="s">
        <v>359</v>
      </c>
    </row>
    <row r="3" spans="1:19" x14ac:dyDescent="0.2">
      <c r="A3" t="s">
        <v>91</v>
      </c>
      <c r="B3" t="s">
        <v>92</v>
      </c>
      <c r="C3" t="s">
        <v>360</v>
      </c>
      <c r="D3">
        <v>1950</v>
      </c>
      <c r="E3">
        <f>$B$16</f>
        <v>34</v>
      </c>
      <c r="F3">
        <f>82.3*1.60934</f>
        <v>132.44868199999999</v>
      </c>
      <c r="G3">
        <f>294*1.6</f>
        <v>470.40000000000003</v>
      </c>
      <c r="H3">
        <f>488*1.6</f>
        <v>780.80000000000007</v>
      </c>
      <c r="I3">
        <f>D3+F3</f>
        <v>2082.4486820000002</v>
      </c>
      <c r="J3">
        <f>D3+G3</f>
        <v>2420.4</v>
      </c>
      <c r="K3">
        <f>D3+H3</f>
        <v>2730.8</v>
      </c>
      <c r="M3">
        <f t="shared" ref="M3:O7" si="0">I3*$B$14</f>
        <v>389.08938892461981</v>
      </c>
      <c r="N3">
        <f t="shared" si="0"/>
        <v>452.23297221839999</v>
      </c>
      <c r="O3">
        <f t="shared" si="0"/>
        <v>510.22880537679998</v>
      </c>
      <c r="P3">
        <f>E3*$B$15</f>
        <v>0.348139906</v>
      </c>
      <c r="Q3">
        <f>M3+P3</f>
        <v>389.43752883061978</v>
      </c>
      <c r="R3">
        <f>N3+P3</f>
        <v>452.58111212439997</v>
      </c>
      <c r="S3">
        <f>O3+P3</f>
        <v>510.57694528279995</v>
      </c>
    </row>
    <row r="4" spans="1:19" x14ac:dyDescent="0.2">
      <c r="A4" t="s">
        <v>96</v>
      </c>
      <c r="B4" t="s">
        <v>186</v>
      </c>
      <c r="C4" t="s">
        <v>361</v>
      </c>
      <c r="D4">
        <v>1300</v>
      </c>
      <c r="E4">
        <f>$B$16</f>
        <v>34</v>
      </c>
      <c r="F4">
        <f>82.3*1.60934</f>
        <v>132.44868199999999</v>
      </c>
      <c r="G4">
        <f>294*1.6</f>
        <v>470.40000000000003</v>
      </c>
      <c r="H4">
        <f>488*1.6</f>
        <v>780.80000000000007</v>
      </c>
      <c r="I4">
        <f>D4+F4</f>
        <v>1432.448682</v>
      </c>
      <c r="J4">
        <f>D4+G4</f>
        <v>1770.4</v>
      </c>
      <c r="K4">
        <f>D4+H4</f>
        <v>2080.8000000000002</v>
      </c>
      <c r="M4">
        <f t="shared" si="0"/>
        <v>267.64192902461974</v>
      </c>
      <c r="N4">
        <f t="shared" si="0"/>
        <v>330.78551231839998</v>
      </c>
      <c r="O4">
        <f t="shared" si="0"/>
        <v>388.78134547680003</v>
      </c>
      <c r="P4">
        <f>E4*$B$15</f>
        <v>0.348139906</v>
      </c>
      <c r="Q4">
        <f>M4+P4</f>
        <v>267.99006893061971</v>
      </c>
      <c r="R4">
        <f>N4+P4</f>
        <v>331.13365222439995</v>
      </c>
      <c r="S4">
        <f>O4+P4</f>
        <v>389.1294853828</v>
      </c>
    </row>
    <row r="5" spans="1:19" x14ac:dyDescent="0.2">
      <c r="A5" t="s">
        <v>100</v>
      </c>
      <c r="B5" t="s">
        <v>188</v>
      </c>
      <c r="C5" t="s">
        <v>103</v>
      </c>
      <c r="D5">
        <v>550</v>
      </c>
      <c r="E5">
        <f>$B$16</f>
        <v>34</v>
      </c>
      <c r="F5">
        <f>82.3*1.60934</f>
        <v>132.44868199999999</v>
      </c>
      <c r="G5">
        <f>294*1.6</f>
        <v>470.40000000000003</v>
      </c>
      <c r="H5">
        <f>488*1.6</f>
        <v>780.80000000000007</v>
      </c>
      <c r="I5">
        <f>D5+F5</f>
        <v>682.44868199999996</v>
      </c>
      <c r="J5">
        <f>D5+G5</f>
        <v>1020.4000000000001</v>
      </c>
      <c r="K5">
        <f>D5+H5</f>
        <v>1330.8000000000002</v>
      </c>
      <c r="M5">
        <f t="shared" si="0"/>
        <v>127.51024452461976</v>
      </c>
      <c r="N5">
        <f t="shared" si="0"/>
        <v>190.6538278184</v>
      </c>
      <c r="O5">
        <f t="shared" si="0"/>
        <v>248.64966097680002</v>
      </c>
      <c r="P5">
        <f>E5*$B$15</f>
        <v>0.348139906</v>
      </c>
      <c r="Q5">
        <f>M5+P5</f>
        <v>127.85838443061976</v>
      </c>
      <c r="R5">
        <f>N5+P5</f>
        <v>191.0019677244</v>
      </c>
      <c r="S5">
        <f>O5+P5</f>
        <v>248.99780088280002</v>
      </c>
    </row>
    <row r="6" spans="1:19" x14ac:dyDescent="0.2">
      <c r="A6" t="s">
        <v>105</v>
      </c>
      <c r="B6" t="s">
        <v>190</v>
      </c>
      <c r="C6" t="s">
        <v>362</v>
      </c>
      <c r="D6">
        <v>690</v>
      </c>
      <c r="E6">
        <f>$B$16</f>
        <v>34</v>
      </c>
      <c r="F6">
        <f>82.3*1.60934</f>
        <v>132.44868199999999</v>
      </c>
      <c r="G6">
        <f>294*1.6</f>
        <v>470.40000000000003</v>
      </c>
      <c r="H6">
        <f>488*1.6</f>
        <v>780.80000000000007</v>
      </c>
      <c r="I6">
        <f>D6+F6</f>
        <v>822.44868199999996</v>
      </c>
      <c r="J6">
        <f>D6+G6</f>
        <v>1160.4000000000001</v>
      </c>
      <c r="K6">
        <f>D6+H6</f>
        <v>1470.8000000000002</v>
      </c>
      <c r="M6">
        <f t="shared" si="0"/>
        <v>153.66815896461975</v>
      </c>
      <c r="N6">
        <f t="shared" si="0"/>
        <v>216.81174225840002</v>
      </c>
      <c r="O6">
        <f t="shared" si="0"/>
        <v>274.80757541680003</v>
      </c>
      <c r="P6">
        <f>E6*$B$15</f>
        <v>0.348139906</v>
      </c>
      <c r="Q6">
        <f>M6+P6</f>
        <v>154.01629887061975</v>
      </c>
      <c r="R6">
        <f>N6+P6</f>
        <v>217.15988216440002</v>
      </c>
      <c r="S6">
        <f>O6+P6</f>
        <v>275.15571532280001</v>
      </c>
    </row>
    <row r="7" spans="1:19" x14ac:dyDescent="0.2">
      <c r="A7" t="s">
        <v>110</v>
      </c>
      <c r="B7" t="s">
        <v>111</v>
      </c>
      <c r="C7" t="s">
        <v>363</v>
      </c>
      <c r="D7">
        <v>1450</v>
      </c>
      <c r="E7">
        <f>$B$16</f>
        <v>34</v>
      </c>
      <c r="F7">
        <f>82.3*1.60934</f>
        <v>132.44868199999999</v>
      </c>
      <c r="G7">
        <f>294*1.6</f>
        <v>470.40000000000003</v>
      </c>
      <c r="H7">
        <f>488*1.6</f>
        <v>780.80000000000007</v>
      </c>
      <c r="I7">
        <f>D7+F7</f>
        <v>1582.448682</v>
      </c>
      <c r="J7">
        <f>D7+G7</f>
        <v>1920.4</v>
      </c>
      <c r="K7">
        <f>D7+H7</f>
        <v>2230.8000000000002</v>
      </c>
      <c r="M7">
        <f t="shared" si="0"/>
        <v>295.66826592461973</v>
      </c>
      <c r="N7">
        <f t="shared" si="0"/>
        <v>358.81184921839997</v>
      </c>
      <c r="O7">
        <f t="shared" si="0"/>
        <v>416.80768237680002</v>
      </c>
      <c r="P7">
        <f>E7*$B$15</f>
        <v>0.348139906</v>
      </c>
      <c r="Q7">
        <f>M7+P7</f>
        <v>296.0164058306197</v>
      </c>
      <c r="R7">
        <f>N7+P7</f>
        <v>359.15998912439994</v>
      </c>
      <c r="S7">
        <f>O7+P7</f>
        <v>417.15582228279999</v>
      </c>
    </row>
    <row r="14" spans="1:19" x14ac:dyDescent="0.2">
      <c r="A14" t="s">
        <v>214</v>
      </c>
      <c r="B14">
        <v>0.18684224599999999</v>
      </c>
    </row>
    <row r="15" spans="1:19" x14ac:dyDescent="0.2">
      <c r="A15" t="s">
        <v>216</v>
      </c>
      <c r="B15">
        <v>1.0239409E-2</v>
      </c>
    </row>
    <row r="16" spans="1:19" x14ac:dyDescent="0.2">
      <c r="A16" t="s">
        <v>364</v>
      </c>
      <c r="B16">
        <v>34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6"/>
  <sheetViews>
    <sheetView workbookViewId="0"/>
  </sheetViews>
  <sheetFormatPr baseColWidth="10" defaultColWidth="8.83203125" defaultRowHeight="15" x14ac:dyDescent="0.2"/>
  <sheetData>
    <row r="1" spans="1:11" x14ac:dyDescent="0.2">
      <c r="A1" t="s">
        <v>365</v>
      </c>
    </row>
    <row r="2" spans="1:11" x14ac:dyDescent="0.2">
      <c r="A2" t="s">
        <v>337</v>
      </c>
      <c r="B2" t="s">
        <v>167</v>
      </c>
      <c r="C2" t="s">
        <v>62</v>
      </c>
      <c r="D2" t="s">
        <v>366</v>
      </c>
      <c r="E2" t="s">
        <v>347</v>
      </c>
      <c r="F2" t="s">
        <v>367</v>
      </c>
      <c r="G2" t="s">
        <v>217</v>
      </c>
      <c r="I2" t="s">
        <v>214</v>
      </c>
      <c r="J2" t="s">
        <v>216</v>
      </c>
      <c r="K2" t="s">
        <v>219</v>
      </c>
    </row>
    <row r="3" spans="1:11" x14ac:dyDescent="0.2">
      <c r="A3" t="s">
        <v>115</v>
      </c>
      <c r="B3" t="s">
        <v>207</v>
      </c>
      <c r="C3" t="s">
        <v>368</v>
      </c>
      <c r="D3">
        <v>822</v>
      </c>
      <c r="E3">
        <v>20071.98</v>
      </c>
      <c r="F3">
        <f>$B$16</f>
        <v>50</v>
      </c>
      <c r="G3">
        <f>D3+F3</f>
        <v>872</v>
      </c>
      <c r="I3">
        <f>G3*$B$14</f>
        <v>172.587912496</v>
      </c>
      <c r="J3">
        <f>E3*$B$15</f>
        <v>205.52521265982</v>
      </c>
      <c r="K3">
        <f>I3+J3</f>
        <v>378.11312515582</v>
      </c>
    </row>
    <row r="4" spans="1:11" x14ac:dyDescent="0.2">
      <c r="A4" t="s">
        <v>120</v>
      </c>
      <c r="B4" t="s">
        <v>209</v>
      </c>
      <c r="C4" t="s">
        <v>369</v>
      </c>
      <c r="D4">
        <v>50</v>
      </c>
      <c r="E4">
        <v>21059.09</v>
      </c>
      <c r="F4">
        <f>$B$16</f>
        <v>50</v>
      </c>
      <c r="G4">
        <f>D4+F4</f>
        <v>100</v>
      </c>
      <c r="I4">
        <f>G4*$B$14</f>
        <v>19.792191800000001</v>
      </c>
      <c r="J4">
        <f>E4*$B$15</f>
        <v>215.63263567780999</v>
      </c>
      <c r="K4">
        <f>I4+J4</f>
        <v>235.42482747781</v>
      </c>
    </row>
    <row r="5" spans="1:11" x14ac:dyDescent="0.2">
      <c r="A5" t="s">
        <v>125</v>
      </c>
      <c r="B5" t="s">
        <v>211</v>
      </c>
      <c r="C5" t="s">
        <v>128</v>
      </c>
      <c r="D5">
        <v>470</v>
      </c>
      <c r="E5">
        <v>17223.599999999999</v>
      </c>
      <c r="F5">
        <f>$B$16</f>
        <v>50</v>
      </c>
      <c r="G5">
        <f>D5+F5</f>
        <v>520</v>
      </c>
      <c r="I5">
        <f>G5*$B$14</f>
        <v>102.91939736</v>
      </c>
      <c r="J5">
        <f>E5*$B$15</f>
        <v>176.35948485239999</v>
      </c>
      <c r="K5">
        <f>I5+J5</f>
        <v>279.27888221239999</v>
      </c>
    </row>
    <row r="14" spans="1:11" x14ac:dyDescent="0.2">
      <c r="A14" t="s">
        <v>370</v>
      </c>
      <c r="B14">
        <v>0.197921918</v>
      </c>
    </row>
    <row r="15" spans="1:11" x14ac:dyDescent="0.2">
      <c r="A15" t="s">
        <v>216</v>
      </c>
      <c r="B15">
        <v>1.0239409E-2</v>
      </c>
    </row>
    <row r="16" spans="1:11" x14ac:dyDescent="0.2">
      <c r="A16" t="s">
        <v>367</v>
      </c>
      <c r="B16">
        <v>50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9"/>
  <sheetViews>
    <sheetView workbookViewId="0"/>
  </sheetViews>
  <sheetFormatPr baseColWidth="10" defaultColWidth="8.83203125" defaultRowHeight="15" x14ac:dyDescent="0.2"/>
  <sheetData>
    <row r="1" spans="1:5" x14ac:dyDescent="0.2">
      <c r="A1" t="s">
        <v>371</v>
      </c>
    </row>
    <row r="2" spans="1:5" x14ac:dyDescent="0.2">
      <c r="A2" t="s">
        <v>372</v>
      </c>
      <c r="B2" t="s">
        <v>291</v>
      </c>
      <c r="C2" t="s">
        <v>292</v>
      </c>
      <c r="D2" t="s">
        <v>373</v>
      </c>
      <c r="E2" t="s">
        <v>374</v>
      </c>
    </row>
    <row r="3" spans="1:5" x14ac:dyDescent="0.2">
      <c r="A3" t="s">
        <v>295</v>
      </c>
      <c r="B3" t="s">
        <v>375</v>
      </c>
      <c r="C3" t="s">
        <v>376</v>
      </c>
      <c r="D3">
        <v>136</v>
      </c>
      <c r="E3" t="s">
        <v>377</v>
      </c>
    </row>
    <row r="4" spans="1:5" x14ac:dyDescent="0.2">
      <c r="A4" t="s">
        <v>298</v>
      </c>
      <c r="B4" t="s">
        <v>378</v>
      </c>
      <c r="C4" t="s">
        <v>379</v>
      </c>
      <c r="D4">
        <v>20001.599999999999</v>
      </c>
      <c r="E4" t="s">
        <v>380</v>
      </c>
    </row>
    <row r="5" spans="1:5" x14ac:dyDescent="0.2">
      <c r="A5" t="s">
        <v>381</v>
      </c>
      <c r="B5" t="s">
        <v>382</v>
      </c>
      <c r="C5" t="s">
        <v>376</v>
      </c>
      <c r="D5">
        <v>110</v>
      </c>
      <c r="E5" t="s">
        <v>377</v>
      </c>
    </row>
    <row r="6" spans="1:5" x14ac:dyDescent="0.2">
      <c r="A6" t="s">
        <v>303</v>
      </c>
      <c r="B6" t="s">
        <v>383</v>
      </c>
      <c r="C6" t="s">
        <v>379</v>
      </c>
      <c r="D6">
        <v>21059.09</v>
      </c>
      <c r="E6" t="s">
        <v>380</v>
      </c>
    </row>
    <row r="7" spans="1:5" x14ac:dyDescent="0.2">
      <c r="A7" t="s">
        <v>306</v>
      </c>
      <c r="B7" t="s">
        <v>307</v>
      </c>
      <c r="C7" t="s">
        <v>376</v>
      </c>
      <c r="D7">
        <v>50</v>
      </c>
      <c r="E7" t="s">
        <v>41</v>
      </c>
    </row>
    <row r="10" spans="1:5" x14ac:dyDescent="0.2">
      <c r="A10" t="s">
        <v>384</v>
      </c>
    </row>
    <row r="11" spans="1:5" x14ac:dyDescent="0.2">
      <c r="A11" t="s">
        <v>372</v>
      </c>
      <c r="B11" t="s">
        <v>291</v>
      </c>
      <c r="C11" t="s">
        <v>292</v>
      </c>
      <c r="D11" t="s">
        <v>373</v>
      </c>
      <c r="E11" t="s">
        <v>374</v>
      </c>
    </row>
    <row r="12" spans="1:5" x14ac:dyDescent="0.2">
      <c r="A12" t="s">
        <v>295</v>
      </c>
      <c r="B12" t="s">
        <v>375</v>
      </c>
      <c r="C12" t="s">
        <v>376</v>
      </c>
      <c r="D12">
        <v>136</v>
      </c>
      <c r="E12" t="s">
        <v>377</v>
      </c>
    </row>
    <row r="13" spans="1:5" x14ac:dyDescent="0.2">
      <c r="A13" t="s">
        <v>312</v>
      </c>
      <c r="B13" t="s">
        <v>313</v>
      </c>
      <c r="C13" t="s">
        <v>379</v>
      </c>
      <c r="D13">
        <v>9630.4</v>
      </c>
      <c r="E13" t="s">
        <v>380</v>
      </c>
    </row>
    <row r="14" spans="1:5" x14ac:dyDescent="0.2">
      <c r="A14" t="s">
        <v>315</v>
      </c>
      <c r="B14" t="s">
        <v>307</v>
      </c>
      <c r="C14" t="s">
        <v>376</v>
      </c>
      <c r="D14">
        <v>50</v>
      </c>
      <c r="E14" t="s">
        <v>41</v>
      </c>
    </row>
    <row r="17" spans="1:2" x14ac:dyDescent="0.2">
      <c r="A17" t="s">
        <v>385</v>
      </c>
      <c r="B17">
        <v>0.18684224599999999</v>
      </c>
    </row>
    <row r="18" spans="1:2" x14ac:dyDescent="0.2">
      <c r="A18" t="s">
        <v>386</v>
      </c>
      <c r="B18">
        <v>0.197921918</v>
      </c>
    </row>
    <row r="19" spans="1:2" x14ac:dyDescent="0.2">
      <c r="A19" t="s">
        <v>215</v>
      </c>
      <c r="B19">
        <v>1.0239409E-2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18"/>
  <sheetViews>
    <sheetView workbookViewId="0">
      <selection activeCell="B26" sqref="B26"/>
    </sheetView>
  </sheetViews>
  <sheetFormatPr baseColWidth="10" defaultColWidth="8.83203125" defaultRowHeight="15" x14ac:dyDescent="0.2"/>
  <sheetData>
    <row r="1" spans="1:10" x14ac:dyDescent="0.2">
      <c r="A1" s="69" t="s">
        <v>387</v>
      </c>
      <c r="B1" s="69" t="s">
        <v>388</v>
      </c>
      <c r="C1" s="69" t="s">
        <v>389</v>
      </c>
      <c r="D1" s="69" t="s">
        <v>390</v>
      </c>
      <c r="E1" s="68"/>
      <c r="F1" s="68"/>
      <c r="G1" t="s">
        <v>391</v>
      </c>
      <c r="H1" t="s">
        <v>392</v>
      </c>
      <c r="I1" s="68"/>
      <c r="J1" s="68"/>
    </row>
    <row r="2" spans="1:10" x14ac:dyDescent="0.2">
      <c r="A2" s="69" t="s">
        <v>393</v>
      </c>
      <c r="B2" s="70">
        <v>0.20200000000000001</v>
      </c>
      <c r="C2" s="70">
        <v>0.34599999999999997</v>
      </c>
      <c r="D2" s="70">
        <v>0.36</v>
      </c>
      <c r="E2" s="68"/>
      <c r="F2" s="68"/>
      <c r="G2" t="str">
        <f>A2</f>
        <v>Precast concrete</v>
      </c>
      <c r="H2">
        <f>B2</f>
        <v>0.20200000000000001</v>
      </c>
      <c r="I2">
        <f t="shared" ref="I2:I8" si="0">D2-B2</f>
        <v>0.15799999999999997</v>
      </c>
      <c r="J2">
        <f t="shared" ref="J2:J8" si="1">C2</f>
        <v>0.34599999999999997</v>
      </c>
    </row>
    <row r="3" spans="1:10" x14ac:dyDescent="0.2">
      <c r="A3" s="69" t="s">
        <v>394</v>
      </c>
      <c r="B3" s="70">
        <v>0.115</v>
      </c>
      <c r="C3" s="70">
        <v>0.15</v>
      </c>
      <c r="D3" s="70">
        <v>0.182</v>
      </c>
      <c r="E3" s="68"/>
      <c r="F3" s="68"/>
      <c r="G3" s="68"/>
      <c r="H3">
        <f t="shared" ref="H3:H8" si="2">B3</f>
        <v>0.115</v>
      </c>
      <c r="I3">
        <f t="shared" si="0"/>
        <v>6.699999999999999E-2</v>
      </c>
      <c r="J3">
        <f t="shared" si="1"/>
        <v>0.15</v>
      </c>
    </row>
    <row r="4" spans="1:10" x14ac:dyDescent="0.2">
      <c r="A4" s="69" t="s">
        <v>395</v>
      </c>
      <c r="B4" s="70">
        <v>0.13800000000000001</v>
      </c>
      <c r="C4" s="70">
        <v>0.26900000000000002</v>
      </c>
      <c r="D4" s="70">
        <v>0.28699999999999998</v>
      </c>
      <c r="E4" s="68"/>
      <c r="F4" s="68"/>
      <c r="G4" s="68"/>
      <c r="H4">
        <f t="shared" si="2"/>
        <v>0.13800000000000001</v>
      </c>
      <c r="I4">
        <f t="shared" si="0"/>
        <v>0.14899999999999997</v>
      </c>
      <c r="J4">
        <f t="shared" si="1"/>
        <v>0.26900000000000002</v>
      </c>
    </row>
    <row r="5" spans="1:10" x14ac:dyDescent="0.2">
      <c r="A5" s="69" t="s">
        <v>396</v>
      </c>
      <c r="B5" s="70">
        <v>8.7999999999999995E-2</v>
      </c>
      <c r="C5" s="70">
        <v>0.125</v>
      </c>
      <c r="D5" s="70">
        <v>0.154</v>
      </c>
      <c r="E5" s="68"/>
      <c r="F5" s="68"/>
      <c r="G5" s="68"/>
      <c r="H5">
        <f t="shared" si="2"/>
        <v>8.7999999999999995E-2</v>
      </c>
      <c r="I5">
        <f t="shared" si="0"/>
        <v>6.6000000000000003E-2</v>
      </c>
      <c r="J5">
        <f t="shared" si="1"/>
        <v>0.125</v>
      </c>
    </row>
    <row r="6" spans="1:10" x14ac:dyDescent="0.2">
      <c r="A6" s="69" t="s">
        <v>397</v>
      </c>
      <c r="B6" s="70">
        <v>1.17</v>
      </c>
      <c r="C6" s="70">
        <v>2.06</v>
      </c>
      <c r="D6" s="70">
        <v>3.03</v>
      </c>
      <c r="E6" s="68"/>
      <c r="F6" s="68"/>
      <c r="G6" s="68"/>
      <c r="H6">
        <f t="shared" si="2"/>
        <v>1.17</v>
      </c>
      <c r="I6">
        <f t="shared" si="0"/>
        <v>1.8599999999999999</v>
      </c>
      <c r="J6">
        <f t="shared" si="1"/>
        <v>2.06</v>
      </c>
    </row>
    <row r="7" spans="1:10" x14ac:dyDescent="0.2">
      <c r="A7" s="69" t="s">
        <v>398</v>
      </c>
      <c r="B7" s="70">
        <v>0.1</v>
      </c>
      <c r="C7" s="70">
        <v>0.17199999999999999</v>
      </c>
      <c r="D7" s="70">
        <v>0.23499999999999999</v>
      </c>
      <c r="E7" s="68"/>
      <c r="F7" s="68"/>
      <c r="G7" s="68"/>
      <c r="H7">
        <f t="shared" si="2"/>
        <v>0.1</v>
      </c>
      <c r="I7">
        <f t="shared" si="0"/>
        <v>0.13499999999999998</v>
      </c>
      <c r="J7">
        <f t="shared" si="1"/>
        <v>0.17199999999999999</v>
      </c>
    </row>
    <row r="8" spans="1:10" x14ac:dyDescent="0.2">
      <c r="A8" s="69" t="s">
        <v>337</v>
      </c>
      <c r="B8" s="70">
        <v>0.02</v>
      </c>
      <c r="C8" s="70">
        <v>0.09</v>
      </c>
      <c r="D8" s="70">
        <v>0.2</v>
      </c>
      <c r="E8" s="68"/>
      <c r="F8" s="68"/>
      <c r="G8" s="68"/>
      <c r="H8">
        <f t="shared" si="2"/>
        <v>0.02</v>
      </c>
      <c r="I8">
        <f t="shared" si="0"/>
        <v>0.18000000000000002</v>
      </c>
      <c r="J8">
        <f t="shared" si="1"/>
        <v>0.09</v>
      </c>
    </row>
    <row r="9" spans="1:10" x14ac:dyDescent="0.2">
      <c r="A9" s="68"/>
      <c r="B9" s="68"/>
      <c r="C9" s="68"/>
      <c r="D9" s="68"/>
      <c r="E9" s="68"/>
      <c r="F9" s="68"/>
      <c r="G9" s="68"/>
      <c r="H9" s="68"/>
      <c r="I9" s="68"/>
      <c r="J9" s="68"/>
    </row>
    <row r="10" spans="1:10" x14ac:dyDescent="0.2">
      <c r="A10" s="68"/>
      <c r="B10" s="68"/>
      <c r="C10" s="68"/>
      <c r="D10" s="68"/>
      <c r="E10" s="68"/>
      <c r="F10" s="68"/>
      <c r="G10" s="68"/>
      <c r="H10" s="68"/>
      <c r="I10" s="68"/>
      <c r="J10" s="68"/>
    </row>
    <row r="11" spans="1:10" x14ac:dyDescent="0.2">
      <c r="A11" s="68"/>
      <c r="B11" s="68"/>
      <c r="C11" s="68"/>
      <c r="D11" s="68"/>
      <c r="E11" s="68"/>
      <c r="F11" s="68"/>
      <c r="G11" s="68"/>
      <c r="H11" s="68"/>
      <c r="I11" s="68"/>
      <c r="J11" s="68"/>
    </row>
    <row r="12" spans="1:10" x14ac:dyDescent="0.2">
      <c r="A12" s="69" t="s">
        <v>393</v>
      </c>
      <c r="B12" s="70">
        <v>0.34599999999999997</v>
      </c>
      <c r="C12" s="68"/>
      <c r="D12" s="68"/>
      <c r="E12" s="68"/>
      <c r="F12" s="68"/>
      <c r="G12" s="68"/>
      <c r="H12" s="68"/>
      <c r="I12" s="68"/>
      <c r="J12" s="68"/>
    </row>
    <row r="13" spans="1:10" x14ac:dyDescent="0.2">
      <c r="A13" s="69" t="s">
        <v>394</v>
      </c>
      <c r="B13" s="70">
        <v>0.15</v>
      </c>
      <c r="C13" s="68"/>
      <c r="D13" s="68"/>
      <c r="E13" s="68"/>
      <c r="F13" s="68"/>
      <c r="G13" s="68"/>
      <c r="H13" s="68"/>
      <c r="I13" s="68"/>
      <c r="J13" s="68"/>
    </row>
    <row r="14" spans="1:10" x14ac:dyDescent="0.2">
      <c r="A14" s="69" t="s">
        <v>395</v>
      </c>
      <c r="B14" s="70">
        <v>0.26900000000000002</v>
      </c>
      <c r="C14" s="68"/>
      <c r="D14" s="68"/>
      <c r="E14" s="68"/>
      <c r="F14" s="68"/>
      <c r="G14" s="68"/>
      <c r="H14" s="68"/>
      <c r="I14" s="68"/>
      <c r="J14" s="68"/>
    </row>
    <row r="15" spans="1:10" x14ac:dyDescent="0.2">
      <c r="A15" s="69" t="s">
        <v>396</v>
      </c>
      <c r="B15" s="70">
        <v>0.125</v>
      </c>
      <c r="C15" s="68"/>
      <c r="D15" s="68"/>
      <c r="E15" s="68"/>
      <c r="F15" s="68"/>
      <c r="G15" s="68"/>
      <c r="H15" s="68"/>
      <c r="I15" s="68"/>
      <c r="J15" s="68"/>
    </row>
    <row r="16" spans="1:10" x14ac:dyDescent="0.2">
      <c r="A16" s="69" t="s">
        <v>397</v>
      </c>
      <c r="B16" s="70">
        <v>2.06</v>
      </c>
      <c r="C16" s="68"/>
      <c r="D16" s="68"/>
      <c r="E16" s="68"/>
      <c r="F16" s="68"/>
      <c r="G16" s="68"/>
      <c r="H16" s="68"/>
      <c r="I16" s="68"/>
      <c r="J16" s="68"/>
    </row>
    <row r="17" spans="1:10" x14ac:dyDescent="0.2">
      <c r="A17" s="69" t="s">
        <v>398</v>
      </c>
      <c r="B17" s="70">
        <v>0.17199999999999999</v>
      </c>
      <c r="C17" s="68"/>
      <c r="D17" s="68"/>
      <c r="E17" s="68"/>
      <c r="F17" s="68"/>
      <c r="G17" s="68"/>
      <c r="H17" s="68"/>
      <c r="I17" s="68"/>
      <c r="J17" s="68"/>
    </row>
    <row r="18" spans="1:10" x14ac:dyDescent="0.2">
      <c r="A18" s="69" t="s">
        <v>337</v>
      </c>
      <c r="B18" s="70">
        <v>0.09</v>
      </c>
      <c r="C18" s="68"/>
      <c r="D18" s="68"/>
      <c r="E18" s="68"/>
      <c r="F18" s="68"/>
      <c r="G18" s="68"/>
      <c r="H18" s="68"/>
      <c r="I18" s="68"/>
      <c r="J18" s="68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D6A4F"/>
  </sheetPr>
  <dimension ref="B2:M38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H33" sqref="H33"/>
    </sheetView>
  </sheetViews>
  <sheetFormatPr baseColWidth="10" defaultColWidth="8.83203125" defaultRowHeight="15" x14ac:dyDescent="0.2"/>
  <cols>
    <col min="1" max="1" width="3" customWidth="1"/>
    <col min="2" max="2" width="26" customWidth="1"/>
    <col min="3" max="3" width="22" customWidth="1"/>
    <col min="4" max="4" width="32" customWidth="1"/>
    <col min="5" max="13" width="18" customWidth="1"/>
  </cols>
  <sheetData>
    <row r="2" spans="2:13" x14ac:dyDescent="0.2">
      <c r="B2" s="71" t="s">
        <v>151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2:13" x14ac:dyDescent="0.2">
      <c r="B3" s="76" t="s">
        <v>152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5" spans="2:13" x14ac:dyDescent="0.2">
      <c r="B5" s="73" t="s">
        <v>153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</row>
    <row r="6" spans="2:13" ht="42" x14ac:dyDescent="0.2">
      <c r="B6" s="2" t="s">
        <v>59</v>
      </c>
      <c r="C6" s="2" t="s">
        <v>60</v>
      </c>
      <c r="D6" s="2" t="s">
        <v>154</v>
      </c>
      <c r="E6" s="2" t="s">
        <v>155</v>
      </c>
      <c r="F6" s="2" t="s">
        <v>156</v>
      </c>
      <c r="G6" s="2" t="s">
        <v>157</v>
      </c>
    </row>
    <row r="7" spans="2:13" ht="28" x14ac:dyDescent="0.2">
      <c r="B7" s="13" t="s">
        <v>64</v>
      </c>
      <c r="C7" s="3" t="s">
        <v>402</v>
      </c>
      <c r="D7" s="3" t="s">
        <v>403</v>
      </c>
      <c r="E7" s="16">
        <f>'UK Data'!D3</f>
        <v>228.52627999999999</v>
      </c>
      <c r="F7" s="16">
        <f>'UK Data'!E3</f>
        <v>424</v>
      </c>
      <c r="G7" s="16">
        <f>'UK Data'!F3</f>
        <v>748.80000000000007</v>
      </c>
    </row>
    <row r="8" spans="2:13" ht="28" x14ac:dyDescent="0.2">
      <c r="B8" s="14" t="s">
        <v>67</v>
      </c>
      <c r="C8" s="6" t="s">
        <v>158</v>
      </c>
      <c r="D8" s="6" t="s">
        <v>159</v>
      </c>
      <c r="E8" s="17">
        <f>'UK Data'!D4</f>
        <v>378.19490000000002</v>
      </c>
      <c r="F8" s="17">
        <f>'UK Data'!E4</f>
        <v>124.80000000000001</v>
      </c>
      <c r="G8" s="17">
        <f>'UK Data'!F4</f>
        <v>368</v>
      </c>
    </row>
    <row r="9" spans="2:13" x14ac:dyDescent="0.2">
      <c r="B9" s="13" t="s">
        <v>72</v>
      </c>
      <c r="C9" s="3" t="s">
        <v>73</v>
      </c>
      <c r="D9" s="3" t="s">
        <v>160</v>
      </c>
      <c r="E9" s="16">
        <f>'UK Data'!D5</f>
        <v>185.07409999999999</v>
      </c>
      <c r="F9" s="16">
        <f>'UK Data'!E5</f>
        <v>291.2</v>
      </c>
      <c r="G9" s="16">
        <f>'UK Data'!F5</f>
        <v>616</v>
      </c>
    </row>
    <row r="10" spans="2:13" x14ac:dyDescent="0.2">
      <c r="B10" s="14" t="s">
        <v>76</v>
      </c>
      <c r="C10" s="6" t="s">
        <v>77</v>
      </c>
      <c r="D10" s="6" t="s">
        <v>161</v>
      </c>
      <c r="E10" s="17">
        <f>'UK Data'!D6</f>
        <v>415.20972</v>
      </c>
      <c r="F10" s="17">
        <f>'UK Data'!E6</f>
        <v>486.40000000000003</v>
      </c>
      <c r="G10" s="17">
        <f>'UK Data'!F6</f>
        <v>812.80000000000007</v>
      </c>
    </row>
    <row r="11" spans="2:13" ht="28" x14ac:dyDescent="0.2">
      <c r="B11" s="13" t="s">
        <v>81</v>
      </c>
      <c r="C11" s="3" t="s">
        <v>82</v>
      </c>
      <c r="D11" s="3" t="s">
        <v>162</v>
      </c>
      <c r="E11" s="16">
        <f>'UK Data'!D7</f>
        <v>457.05255999999997</v>
      </c>
      <c r="F11" s="16">
        <f>'UK Data'!E7</f>
        <v>145.6</v>
      </c>
      <c r="G11" s="16">
        <f>'UK Data'!F7</f>
        <v>272</v>
      </c>
    </row>
    <row r="12" spans="2:13" x14ac:dyDescent="0.2">
      <c r="B12" s="14" t="s">
        <v>86</v>
      </c>
      <c r="C12" s="6" t="s">
        <v>87</v>
      </c>
      <c r="D12" s="6" t="s">
        <v>89</v>
      </c>
      <c r="E12" s="17">
        <f>'UK Data'!D8</f>
        <v>690.40686000000005</v>
      </c>
      <c r="F12" s="17">
        <f>'UK Data'!E8</f>
        <v>368</v>
      </c>
      <c r="G12" s="17">
        <f>'UK Data'!F8</f>
        <v>43.2</v>
      </c>
    </row>
    <row r="15" spans="2:13" x14ac:dyDescent="0.2">
      <c r="B15" s="73" t="s">
        <v>163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</row>
    <row r="16" spans="2:13" x14ac:dyDescent="0.2">
      <c r="E16" s="77" t="s">
        <v>164</v>
      </c>
      <c r="F16" s="78"/>
      <c r="G16" s="78"/>
      <c r="H16" s="77" t="s">
        <v>165</v>
      </c>
      <c r="I16" s="78"/>
      <c r="J16" s="78"/>
      <c r="K16" s="77" t="s">
        <v>166</v>
      </c>
      <c r="L16" s="78"/>
      <c r="M16" s="78"/>
    </row>
    <row r="17" spans="2:13" ht="28" x14ac:dyDescent="0.2">
      <c r="B17" s="2" t="s">
        <v>59</v>
      </c>
      <c r="C17" s="2" t="s">
        <v>167</v>
      </c>
      <c r="D17" s="2" t="s">
        <v>168</v>
      </c>
      <c r="E17" s="2" t="s">
        <v>169</v>
      </c>
      <c r="F17" s="2" t="s">
        <v>170</v>
      </c>
      <c r="G17" s="2" t="s">
        <v>171</v>
      </c>
      <c r="H17" s="2" t="s">
        <v>169</v>
      </c>
      <c r="I17" s="2" t="s">
        <v>170</v>
      </c>
      <c r="J17" s="2" t="s">
        <v>171</v>
      </c>
      <c r="K17" s="2" t="s">
        <v>169</v>
      </c>
      <c r="L17" s="2" t="s">
        <v>170</v>
      </c>
      <c r="M17" s="2" t="s">
        <v>171</v>
      </c>
    </row>
    <row r="18" spans="2:13" x14ac:dyDescent="0.2">
      <c r="B18" s="13" t="s">
        <v>64</v>
      </c>
      <c r="C18" s="3" t="s">
        <v>402</v>
      </c>
      <c r="D18" s="19">
        <f>'1. Assumptions'!C7</f>
        <v>0.18684224599999999</v>
      </c>
      <c r="E18" s="20">
        <f t="shared" ref="E18:G23" si="0">E7*$D18</f>
        <v>42.698363425224876</v>
      </c>
      <c r="F18" s="20">
        <f t="shared" si="0"/>
        <v>79.221112304000002</v>
      </c>
      <c r="G18" s="20">
        <f t="shared" si="0"/>
        <v>139.90747380479999</v>
      </c>
      <c r="H18" s="21">
        <v>0</v>
      </c>
      <c r="I18" s="21">
        <v>0</v>
      </c>
      <c r="J18" s="21">
        <v>0</v>
      </c>
      <c r="K18" s="20">
        <f t="shared" ref="K18:M23" si="1">E18+H18</f>
        <v>42.698363425224876</v>
      </c>
      <c r="L18" s="20">
        <f t="shared" si="1"/>
        <v>79.221112304000002</v>
      </c>
      <c r="M18" s="20">
        <f t="shared" si="1"/>
        <v>139.90747380479999</v>
      </c>
    </row>
    <row r="19" spans="2:13" x14ac:dyDescent="0.2">
      <c r="B19" s="14" t="s">
        <v>67</v>
      </c>
      <c r="C19" s="6" t="s">
        <v>158</v>
      </c>
      <c r="D19" s="22">
        <f>'1. Assumptions'!C7</f>
        <v>0.18684224599999999</v>
      </c>
      <c r="E19" s="23">
        <f t="shared" si="0"/>
        <v>70.662784541745395</v>
      </c>
      <c r="F19" s="23">
        <f t="shared" si="0"/>
        <v>23.3179123008</v>
      </c>
      <c r="G19" s="23">
        <f t="shared" si="0"/>
        <v>68.757946527999991</v>
      </c>
      <c r="H19" s="24">
        <v>0</v>
      </c>
      <c r="I19" s="24">
        <v>0</v>
      </c>
      <c r="J19" s="24">
        <v>0</v>
      </c>
      <c r="K19" s="23">
        <f t="shared" si="1"/>
        <v>70.662784541745395</v>
      </c>
      <c r="L19" s="23">
        <f t="shared" si="1"/>
        <v>23.3179123008</v>
      </c>
      <c r="M19" s="23">
        <f t="shared" si="1"/>
        <v>68.757946527999991</v>
      </c>
    </row>
    <row r="20" spans="2:13" x14ac:dyDescent="0.2">
      <c r="B20" s="13" t="s">
        <v>72</v>
      </c>
      <c r="C20" s="3" t="s">
        <v>73</v>
      </c>
      <c r="D20" s="19">
        <f>'1. Assumptions'!C7</f>
        <v>0.18684224599999999</v>
      </c>
      <c r="E20" s="20">
        <f t="shared" si="0"/>
        <v>34.579660520428597</v>
      </c>
      <c r="F20" s="20">
        <f t="shared" si="0"/>
        <v>54.408462035199996</v>
      </c>
      <c r="G20" s="20">
        <f t="shared" si="0"/>
        <v>115.09482353599999</v>
      </c>
      <c r="H20" s="21">
        <v>0</v>
      </c>
      <c r="I20" s="21">
        <v>0</v>
      </c>
      <c r="J20" s="21">
        <v>0</v>
      </c>
      <c r="K20" s="20">
        <f t="shared" si="1"/>
        <v>34.579660520428597</v>
      </c>
      <c r="L20" s="20">
        <f t="shared" si="1"/>
        <v>54.408462035199996</v>
      </c>
      <c r="M20" s="20">
        <f t="shared" si="1"/>
        <v>115.09482353599999</v>
      </c>
    </row>
    <row r="21" spans="2:13" x14ac:dyDescent="0.2">
      <c r="B21" s="14" t="s">
        <v>76</v>
      </c>
      <c r="C21" s="6" t="s">
        <v>77</v>
      </c>
      <c r="D21" s="22">
        <f>'1. Assumptions'!C7</f>
        <v>0.18684224599999999</v>
      </c>
      <c r="E21" s="23">
        <f t="shared" si="0"/>
        <v>77.578716645831122</v>
      </c>
      <c r="F21" s="23">
        <f t="shared" si="0"/>
        <v>90.880068454400003</v>
      </c>
      <c r="G21" s="23">
        <f t="shared" si="0"/>
        <v>151.86537754880001</v>
      </c>
      <c r="H21" s="24">
        <v>0</v>
      </c>
      <c r="I21" s="24">
        <v>0</v>
      </c>
      <c r="J21" s="24">
        <v>0</v>
      </c>
      <c r="K21" s="23">
        <f t="shared" si="1"/>
        <v>77.578716645831122</v>
      </c>
      <c r="L21" s="23">
        <f t="shared" si="1"/>
        <v>90.880068454400003</v>
      </c>
      <c r="M21" s="23">
        <f t="shared" si="1"/>
        <v>151.86537754880001</v>
      </c>
    </row>
    <row r="22" spans="2:13" x14ac:dyDescent="0.2">
      <c r="B22" s="13" t="s">
        <v>81</v>
      </c>
      <c r="C22" s="3" t="s">
        <v>82</v>
      </c>
      <c r="D22" s="19">
        <f>'1. Assumptions'!C7</f>
        <v>0.18684224599999999</v>
      </c>
      <c r="E22" s="20">
        <f t="shared" si="0"/>
        <v>85.396726850449753</v>
      </c>
      <c r="F22" s="20">
        <f t="shared" si="0"/>
        <v>27.204231017599998</v>
      </c>
      <c r="G22" s="20">
        <f t="shared" si="0"/>
        <v>50.821090911999995</v>
      </c>
      <c r="H22" s="21">
        <v>0</v>
      </c>
      <c r="I22" s="21">
        <v>0</v>
      </c>
      <c r="J22" s="21">
        <v>0</v>
      </c>
      <c r="K22" s="20">
        <f t="shared" si="1"/>
        <v>85.396726850449753</v>
      </c>
      <c r="L22" s="20">
        <f t="shared" si="1"/>
        <v>27.204231017599998</v>
      </c>
      <c r="M22" s="20">
        <f t="shared" si="1"/>
        <v>50.821090911999995</v>
      </c>
    </row>
    <row r="23" spans="2:13" x14ac:dyDescent="0.2">
      <c r="B23" s="14" t="s">
        <v>86</v>
      </c>
      <c r="C23" s="6" t="s">
        <v>87</v>
      </c>
      <c r="D23" s="22">
        <f>'1. Assumptions'!C7</f>
        <v>0.18684224599999999</v>
      </c>
      <c r="E23" s="23">
        <f t="shared" si="0"/>
        <v>128.99716837620755</v>
      </c>
      <c r="F23" s="23">
        <f t="shared" si="0"/>
        <v>68.757946527999991</v>
      </c>
      <c r="G23" s="23">
        <f t="shared" si="0"/>
        <v>8.0715850271999994</v>
      </c>
      <c r="H23" s="24">
        <v>0</v>
      </c>
      <c r="I23" s="24">
        <v>0</v>
      </c>
      <c r="J23" s="24">
        <v>0</v>
      </c>
      <c r="K23" s="23">
        <f t="shared" si="1"/>
        <v>128.99716837620755</v>
      </c>
      <c r="L23" s="23">
        <f t="shared" si="1"/>
        <v>68.757946527999991</v>
      </c>
      <c r="M23" s="23">
        <f t="shared" si="1"/>
        <v>8.0715850271999994</v>
      </c>
    </row>
    <row r="24" spans="2:13" x14ac:dyDescent="0.2">
      <c r="B24" s="25" t="s">
        <v>172</v>
      </c>
      <c r="C24" s="26"/>
      <c r="E24" s="27">
        <f t="shared" ref="E24:M24" si="2">AVERAGE(E18:E23)</f>
        <v>73.318903393314542</v>
      </c>
      <c r="F24" s="27">
        <f t="shared" si="2"/>
        <v>57.298288773333333</v>
      </c>
      <c r="G24" s="27">
        <f t="shared" si="2"/>
        <v>89.086382892799989</v>
      </c>
      <c r="H24" s="27">
        <f t="shared" si="2"/>
        <v>0</v>
      </c>
      <c r="I24" s="27">
        <f t="shared" si="2"/>
        <v>0</v>
      </c>
      <c r="J24" s="27">
        <f t="shared" si="2"/>
        <v>0</v>
      </c>
      <c r="K24" s="27">
        <f t="shared" si="2"/>
        <v>73.318903393314542</v>
      </c>
      <c r="L24" s="27">
        <f t="shared" si="2"/>
        <v>57.298288773333333</v>
      </c>
      <c r="M24" s="27">
        <f t="shared" si="2"/>
        <v>89.086382892799989</v>
      </c>
    </row>
    <row r="25" spans="2:13" x14ac:dyDescent="0.2">
      <c r="B25" s="25" t="s">
        <v>173</v>
      </c>
      <c r="C25" s="26"/>
      <c r="E25" s="27">
        <f t="shared" ref="E25:M25" si="3">MIN(E18:E23)</f>
        <v>34.579660520428597</v>
      </c>
      <c r="F25" s="27">
        <f t="shared" si="3"/>
        <v>23.3179123008</v>
      </c>
      <c r="G25" s="27">
        <f t="shared" si="3"/>
        <v>8.0715850271999994</v>
      </c>
      <c r="H25" s="27">
        <f t="shared" si="3"/>
        <v>0</v>
      </c>
      <c r="I25" s="27">
        <f t="shared" si="3"/>
        <v>0</v>
      </c>
      <c r="J25" s="27">
        <f t="shared" si="3"/>
        <v>0</v>
      </c>
      <c r="K25" s="27">
        <f t="shared" si="3"/>
        <v>34.579660520428597</v>
      </c>
      <c r="L25" s="27">
        <f t="shared" si="3"/>
        <v>23.3179123008</v>
      </c>
      <c r="M25" s="27">
        <f t="shared" si="3"/>
        <v>8.0715850271999994</v>
      </c>
    </row>
    <row r="26" spans="2:13" x14ac:dyDescent="0.2">
      <c r="B26" s="25" t="s">
        <v>174</v>
      </c>
      <c r="C26" s="26"/>
      <c r="E26" s="27">
        <f t="shared" ref="E26:M26" si="4">MAX(E18:E23)</f>
        <v>128.99716837620755</v>
      </c>
      <c r="F26" s="27">
        <f t="shared" si="4"/>
        <v>90.880068454400003</v>
      </c>
      <c r="G26" s="27">
        <f t="shared" si="4"/>
        <v>151.86537754880001</v>
      </c>
      <c r="H26" s="27">
        <f t="shared" si="4"/>
        <v>0</v>
      </c>
      <c r="I26" s="27">
        <f t="shared" si="4"/>
        <v>0</v>
      </c>
      <c r="J26" s="27">
        <f t="shared" si="4"/>
        <v>0</v>
      </c>
      <c r="K26" s="27">
        <f t="shared" si="4"/>
        <v>128.99716837620755</v>
      </c>
      <c r="L26" s="27">
        <f t="shared" si="4"/>
        <v>90.880068454400003</v>
      </c>
      <c r="M26" s="27">
        <f t="shared" si="4"/>
        <v>151.86537754880001</v>
      </c>
    </row>
    <row r="28" spans="2:13" x14ac:dyDescent="0.2">
      <c r="B28" s="79" t="s">
        <v>175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</row>
    <row r="29" spans="2:13" ht="28" x14ac:dyDescent="0.2">
      <c r="B29" s="28" t="s">
        <v>59</v>
      </c>
      <c r="C29" s="28" t="s">
        <v>167</v>
      </c>
      <c r="D29" s="28" t="s">
        <v>176</v>
      </c>
      <c r="E29" s="28" t="s">
        <v>168</v>
      </c>
      <c r="F29" s="28" t="s">
        <v>177</v>
      </c>
    </row>
    <row r="30" spans="2:13" x14ac:dyDescent="0.2">
      <c r="B30" s="29" t="s">
        <v>64</v>
      </c>
      <c r="C30" s="30" t="s">
        <v>402</v>
      </c>
      <c r="D30" s="31">
        <f>'1. Assumptions'!C16</f>
        <v>50</v>
      </c>
      <c r="E30" s="32">
        <f>'1. Assumptions'!C7</f>
        <v>0.18684224599999999</v>
      </c>
      <c r="F30" s="33">
        <f t="shared" ref="F30:F35" si="5">D30*E30</f>
        <v>9.3421123000000001</v>
      </c>
    </row>
    <row r="31" spans="2:13" x14ac:dyDescent="0.2">
      <c r="B31" s="14" t="s">
        <v>67</v>
      </c>
      <c r="C31" s="6" t="s">
        <v>158</v>
      </c>
      <c r="D31" s="17">
        <f>'1. Assumptions'!C16</f>
        <v>50</v>
      </c>
      <c r="E31" s="22">
        <f>'1. Assumptions'!C7</f>
        <v>0.18684224599999999</v>
      </c>
      <c r="F31" s="23">
        <f t="shared" si="5"/>
        <v>9.3421123000000001</v>
      </c>
    </row>
    <row r="32" spans="2:13" x14ac:dyDescent="0.2">
      <c r="B32" s="29" t="s">
        <v>72</v>
      </c>
      <c r="C32" s="30" t="s">
        <v>73</v>
      </c>
      <c r="D32" s="31">
        <f>'1. Assumptions'!C16</f>
        <v>50</v>
      </c>
      <c r="E32" s="32">
        <f>'1. Assumptions'!C7</f>
        <v>0.18684224599999999</v>
      </c>
      <c r="F32" s="33">
        <f t="shared" si="5"/>
        <v>9.3421123000000001</v>
      </c>
    </row>
    <row r="33" spans="2:6" x14ac:dyDescent="0.2">
      <c r="B33" s="14" t="s">
        <v>76</v>
      </c>
      <c r="C33" s="6" t="s">
        <v>77</v>
      </c>
      <c r="D33" s="17">
        <f>'1. Assumptions'!C16</f>
        <v>50</v>
      </c>
      <c r="E33" s="22">
        <f>'1. Assumptions'!C7</f>
        <v>0.18684224599999999</v>
      </c>
      <c r="F33" s="23">
        <f t="shared" si="5"/>
        <v>9.3421123000000001</v>
      </c>
    </row>
    <row r="34" spans="2:6" x14ac:dyDescent="0.2">
      <c r="B34" s="29" t="s">
        <v>81</v>
      </c>
      <c r="C34" s="30" t="s">
        <v>82</v>
      </c>
      <c r="D34" s="31">
        <f>'1. Assumptions'!C16</f>
        <v>50</v>
      </c>
      <c r="E34" s="32">
        <f>'1. Assumptions'!C7</f>
        <v>0.18684224599999999</v>
      </c>
      <c r="F34" s="33">
        <f t="shared" si="5"/>
        <v>9.3421123000000001</v>
      </c>
    </row>
    <row r="35" spans="2:6" x14ac:dyDescent="0.2">
      <c r="B35" s="14" t="s">
        <v>86</v>
      </c>
      <c r="C35" s="6" t="s">
        <v>87</v>
      </c>
      <c r="D35" s="17">
        <f>'1. Assumptions'!C16</f>
        <v>50</v>
      </c>
      <c r="E35" s="22">
        <f>'1. Assumptions'!C7</f>
        <v>0.18684224599999999</v>
      </c>
      <c r="F35" s="23">
        <f t="shared" si="5"/>
        <v>9.3421123000000001</v>
      </c>
    </row>
    <row r="36" spans="2:6" x14ac:dyDescent="0.2">
      <c r="B36" s="25" t="s">
        <v>172</v>
      </c>
      <c r="C36" s="26"/>
      <c r="D36" s="26"/>
      <c r="E36" s="26"/>
      <c r="F36" s="27">
        <f>AVERAGE(F30:F35)</f>
        <v>9.3421122999999984</v>
      </c>
    </row>
    <row r="37" spans="2:6" x14ac:dyDescent="0.2">
      <c r="B37" s="25" t="s">
        <v>173</v>
      </c>
      <c r="C37" s="26"/>
      <c r="D37" s="26"/>
      <c r="E37" s="26"/>
      <c r="F37" s="27">
        <f>MIN(F30:F35)</f>
        <v>9.3421123000000001</v>
      </c>
    </row>
    <row r="38" spans="2:6" x14ac:dyDescent="0.2">
      <c r="B38" s="25" t="s">
        <v>174</v>
      </c>
      <c r="C38" s="26"/>
      <c r="D38" s="26"/>
      <c r="E38" s="26"/>
      <c r="F38" s="27">
        <f>MAX(F30:F35)</f>
        <v>9.3421123000000001</v>
      </c>
    </row>
  </sheetData>
  <sheetProtection algorithmName="SHA-512" hashValue="inQscvXKF0vxxiluGB1LV6Ig9DKASmhSKg3KsVfMrR1WxF8yFBb3MdvzpYQwk9GL2QBfuOCvSGaBtDqp6RuRTg==" saltValue="dq6pRYrsWR8J+D2EvADcww==" spinCount="100000" sheet="1" objects="1" scenarios="1"/>
  <mergeCells count="8">
    <mergeCell ref="H16:J16"/>
    <mergeCell ref="B2:M2"/>
    <mergeCell ref="B15:M15"/>
    <mergeCell ref="B28:M28"/>
    <mergeCell ref="B3:M3"/>
    <mergeCell ref="B5:M5"/>
    <mergeCell ref="K16:M16"/>
    <mergeCell ref="E16:G16"/>
  </mergeCells>
  <pageMargins left="0.75" right="0.75" top="1" bottom="1" header="0.5" footer="0.5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0916C"/>
  </sheetPr>
  <dimension ref="B2:M36"/>
  <sheetViews>
    <sheetView showGridLines="0" workbookViewId="0">
      <pane xSplit="1" ySplit="4" topLeftCell="B5" activePane="bottomRight" state="frozen"/>
      <selection pane="topRight"/>
      <selection pane="bottomLeft"/>
      <selection pane="bottomRight"/>
    </sheetView>
  </sheetViews>
  <sheetFormatPr baseColWidth="10" defaultColWidth="8.83203125" defaultRowHeight="15" x14ac:dyDescent="0.2"/>
  <cols>
    <col min="1" max="1" width="3" customWidth="1"/>
    <col min="2" max="2" width="26" customWidth="1"/>
    <col min="3" max="3" width="22" customWidth="1"/>
    <col min="4" max="4" width="38" customWidth="1"/>
    <col min="5" max="5" width="18" customWidth="1"/>
    <col min="6" max="13" width="16" customWidth="1"/>
  </cols>
  <sheetData>
    <row r="2" spans="2:13" x14ac:dyDescent="0.2">
      <c r="B2" s="71" t="s">
        <v>178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2:13" x14ac:dyDescent="0.2">
      <c r="B3" s="76" t="s">
        <v>179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5" spans="2:13" x14ac:dyDescent="0.2">
      <c r="B5" s="73" t="s">
        <v>153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</row>
    <row r="6" spans="2:13" x14ac:dyDescent="0.2">
      <c r="G6" s="77" t="s">
        <v>180</v>
      </c>
      <c r="H6" s="78"/>
      <c r="I6" s="78"/>
      <c r="J6" s="77" t="s">
        <v>181</v>
      </c>
      <c r="K6" s="78"/>
      <c r="L6" s="78"/>
    </row>
    <row r="7" spans="2:13" ht="28" x14ac:dyDescent="0.2">
      <c r="B7" s="2" t="s">
        <v>59</v>
      </c>
      <c r="C7" s="2" t="s">
        <v>167</v>
      </c>
      <c r="D7" s="2" t="s">
        <v>182</v>
      </c>
      <c r="E7" s="2" t="s">
        <v>183</v>
      </c>
      <c r="F7" s="2" t="s">
        <v>184</v>
      </c>
      <c r="G7" s="2" t="s">
        <v>169</v>
      </c>
      <c r="H7" s="2" t="s">
        <v>170</v>
      </c>
      <c r="I7" s="2" t="s">
        <v>171</v>
      </c>
      <c r="J7" s="2" t="s">
        <v>169</v>
      </c>
      <c r="K7" s="2" t="s">
        <v>170</v>
      </c>
      <c r="L7" s="2" t="s">
        <v>171</v>
      </c>
    </row>
    <row r="8" spans="2:13" x14ac:dyDescent="0.2">
      <c r="B8" s="13" t="s">
        <v>91</v>
      </c>
      <c r="C8" s="3" t="s">
        <v>92</v>
      </c>
      <c r="D8" s="3" t="s">
        <v>185</v>
      </c>
      <c r="E8" s="16">
        <f>'Europe Data'!D3</f>
        <v>1950</v>
      </c>
      <c r="F8" s="16">
        <f>'Europe Data'!E3</f>
        <v>34</v>
      </c>
      <c r="G8" s="16">
        <f>'Europe Data'!F3</f>
        <v>132.44868199999999</v>
      </c>
      <c r="H8" s="16">
        <f>'Europe Data'!G3</f>
        <v>470.40000000000003</v>
      </c>
      <c r="I8" s="16">
        <f>'Europe Data'!H3</f>
        <v>780.80000000000007</v>
      </c>
      <c r="J8" s="16">
        <f>'Europe Data'!I3</f>
        <v>2082.4486820000002</v>
      </c>
      <c r="K8" s="16">
        <f>'Europe Data'!J3</f>
        <v>2420.4</v>
      </c>
      <c r="L8" s="16">
        <f>'Europe Data'!K3</f>
        <v>2730.8</v>
      </c>
    </row>
    <row r="9" spans="2:13" ht="28" x14ac:dyDescent="0.2">
      <c r="B9" s="14" t="s">
        <v>96</v>
      </c>
      <c r="C9" s="6" t="s">
        <v>186</v>
      </c>
      <c r="D9" s="6" t="s">
        <v>187</v>
      </c>
      <c r="E9" s="17">
        <f>'Europe Data'!D4</f>
        <v>1300</v>
      </c>
      <c r="F9" s="17">
        <f>'Europe Data'!E4</f>
        <v>34</v>
      </c>
      <c r="G9" s="17">
        <f>'Europe Data'!F4</f>
        <v>132.44868199999999</v>
      </c>
      <c r="H9" s="17">
        <f>'Europe Data'!G4</f>
        <v>470.40000000000003</v>
      </c>
      <c r="I9" s="17">
        <f>'Europe Data'!H4</f>
        <v>780.80000000000007</v>
      </c>
      <c r="J9" s="17">
        <f>'Europe Data'!I4</f>
        <v>1432.448682</v>
      </c>
      <c r="K9" s="17">
        <f>'Europe Data'!J4</f>
        <v>1770.4</v>
      </c>
      <c r="L9" s="17">
        <f>'Europe Data'!K4</f>
        <v>2080.8000000000002</v>
      </c>
    </row>
    <row r="10" spans="2:13" x14ac:dyDescent="0.2">
      <c r="B10" s="13" t="s">
        <v>100</v>
      </c>
      <c r="C10" s="3" t="s">
        <v>188</v>
      </c>
      <c r="D10" s="3" t="s">
        <v>189</v>
      </c>
      <c r="E10" s="16">
        <f>'Europe Data'!D5</f>
        <v>550</v>
      </c>
      <c r="F10" s="16">
        <f>'Europe Data'!E5</f>
        <v>34</v>
      </c>
      <c r="G10" s="16">
        <f>'Europe Data'!F5</f>
        <v>132.44868199999999</v>
      </c>
      <c r="H10" s="16">
        <f>'Europe Data'!G5</f>
        <v>470.40000000000003</v>
      </c>
      <c r="I10" s="16">
        <f>'Europe Data'!H5</f>
        <v>780.80000000000007</v>
      </c>
      <c r="J10" s="16">
        <f>'Europe Data'!I5</f>
        <v>682.44868199999996</v>
      </c>
      <c r="K10" s="16">
        <f>'Europe Data'!J5</f>
        <v>1020.4000000000001</v>
      </c>
      <c r="L10" s="16">
        <f>'Europe Data'!K5</f>
        <v>1330.8000000000002</v>
      </c>
    </row>
    <row r="11" spans="2:13" x14ac:dyDescent="0.2">
      <c r="B11" s="14" t="s">
        <v>105</v>
      </c>
      <c r="C11" s="6" t="s">
        <v>190</v>
      </c>
      <c r="D11" s="6" t="s">
        <v>191</v>
      </c>
      <c r="E11" s="17">
        <f>'Europe Data'!D6</f>
        <v>690</v>
      </c>
      <c r="F11" s="17">
        <f>'Europe Data'!E6</f>
        <v>34</v>
      </c>
      <c r="G11" s="17">
        <f>'Europe Data'!F6</f>
        <v>132.44868199999999</v>
      </c>
      <c r="H11" s="17">
        <f>'Europe Data'!G6</f>
        <v>470.40000000000003</v>
      </c>
      <c r="I11" s="17">
        <f>'Europe Data'!H6</f>
        <v>780.80000000000007</v>
      </c>
      <c r="J11" s="17">
        <f>'Europe Data'!I6</f>
        <v>822.44868199999996</v>
      </c>
      <c r="K11" s="17">
        <f>'Europe Data'!J6</f>
        <v>1160.4000000000001</v>
      </c>
      <c r="L11" s="17">
        <f>'Europe Data'!K6</f>
        <v>1470.8000000000002</v>
      </c>
    </row>
    <row r="12" spans="2:13" x14ac:dyDescent="0.2">
      <c r="B12" s="13" t="s">
        <v>110</v>
      </c>
      <c r="C12" s="3" t="s">
        <v>111</v>
      </c>
      <c r="D12" s="3" t="s">
        <v>192</v>
      </c>
      <c r="E12" s="16">
        <f>'Europe Data'!D7</f>
        <v>1450</v>
      </c>
      <c r="F12" s="16">
        <f>'Europe Data'!E7</f>
        <v>34</v>
      </c>
      <c r="G12" s="16">
        <f>'Europe Data'!F7</f>
        <v>132.44868199999999</v>
      </c>
      <c r="H12" s="16">
        <f>'Europe Data'!G7</f>
        <v>470.40000000000003</v>
      </c>
      <c r="I12" s="16">
        <f>'Europe Data'!H7</f>
        <v>780.80000000000007</v>
      </c>
      <c r="J12" s="16">
        <f>'Europe Data'!I7</f>
        <v>1582.448682</v>
      </c>
      <c r="K12" s="16">
        <f>'Europe Data'!J7</f>
        <v>1920.4</v>
      </c>
      <c r="L12" s="16">
        <f>'Europe Data'!K7</f>
        <v>2230.8000000000002</v>
      </c>
    </row>
    <row r="15" spans="2:13" x14ac:dyDescent="0.2">
      <c r="B15" s="73" t="s">
        <v>163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</row>
    <row r="16" spans="2:13" x14ac:dyDescent="0.2">
      <c r="E16" s="77" t="s">
        <v>164</v>
      </c>
      <c r="F16" s="78"/>
      <c r="G16" s="78"/>
      <c r="H16" s="77" t="s">
        <v>165</v>
      </c>
      <c r="I16" s="78"/>
      <c r="J16" s="77" t="s">
        <v>166</v>
      </c>
      <c r="K16" s="78"/>
      <c r="L16" s="78"/>
    </row>
    <row r="17" spans="2:13" ht="28" x14ac:dyDescent="0.2">
      <c r="B17" s="2" t="s">
        <v>59</v>
      </c>
      <c r="C17" s="2" t="s">
        <v>167</v>
      </c>
      <c r="D17" s="2" t="s">
        <v>193</v>
      </c>
      <c r="E17" s="2" t="s">
        <v>169</v>
      </c>
      <c r="F17" s="2" t="s">
        <v>170</v>
      </c>
      <c r="G17" s="2" t="s">
        <v>171</v>
      </c>
      <c r="H17" s="2" t="s">
        <v>194</v>
      </c>
      <c r="I17" s="2" t="s">
        <v>195</v>
      </c>
      <c r="J17" s="2" t="s">
        <v>169</v>
      </c>
      <c r="K17" s="2" t="s">
        <v>170</v>
      </c>
      <c r="L17" s="2" t="s">
        <v>171</v>
      </c>
    </row>
    <row r="18" spans="2:13" x14ac:dyDescent="0.2">
      <c r="B18" s="13" t="s">
        <v>91</v>
      </c>
      <c r="C18" s="3" t="s">
        <v>92</v>
      </c>
      <c r="D18" s="19">
        <f>'1. Assumptions'!C7</f>
        <v>0.18684224599999999</v>
      </c>
      <c r="E18" s="20">
        <f t="shared" ref="E18:G22" si="0">J8*$D18</f>
        <v>389.08938892461981</v>
      </c>
      <c r="F18" s="20">
        <f t="shared" si="0"/>
        <v>452.23297221839999</v>
      </c>
      <c r="G18" s="20">
        <f t="shared" si="0"/>
        <v>510.22880537679998</v>
      </c>
      <c r="H18" s="19">
        <f>'1. Assumptions'!C9</f>
        <v>1.0239409E-2</v>
      </c>
      <c r="I18" s="20">
        <f>F8*$H18</f>
        <v>0.348139906</v>
      </c>
      <c r="J18" s="20">
        <f>E18+I18</f>
        <v>389.43752883061978</v>
      </c>
      <c r="K18" s="20">
        <f>F18+I18</f>
        <v>452.58111212439997</v>
      </c>
      <c r="L18" s="20">
        <f>G18+I18</f>
        <v>510.57694528279995</v>
      </c>
    </row>
    <row r="19" spans="2:13" ht="28" x14ac:dyDescent="0.2">
      <c r="B19" s="14" t="s">
        <v>96</v>
      </c>
      <c r="C19" s="6" t="s">
        <v>186</v>
      </c>
      <c r="D19" s="22">
        <f>'1. Assumptions'!C7</f>
        <v>0.18684224599999999</v>
      </c>
      <c r="E19" s="23">
        <f t="shared" si="0"/>
        <v>267.64192902461974</v>
      </c>
      <c r="F19" s="23">
        <f t="shared" si="0"/>
        <v>330.78551231839998</v>
      </c>
      <c r="G19" s="23">
        <f t="shared" si="0"/>
        <v>388.78134547680003</v>
      </c>
      <c r="H19" s="22">
        <f>'1. Assumptions'!C9</f>
        <v>1.0239409E-2</v>
      </c>
      <c r="I19" s="23">
        <f>F9*$H19</f>
        <v>0.348139906</v>
      </c>
      <c r="J19" s="23">
        <f>E19+I19</f>
        <v>267.99006893061971</v>
      </c>
      <c r="K19" s="23">
        <f>F19+I19</f>
        <v>331.13365222439995</v>
      </c>
      <c r="L19" s="23">
        <f>G19+I19</f>
        <v>389.1294853828</v>
      </c>
    </row>
    <row r="20" spans="2:13" x14ac:dyDescent="0.2">
      <c r="B20" s="13" t="s">
        <v>100</v>
      </c>
      <c r="C20" s="3" t="s">
        <v>188</v>
      </c>
      <c r="D20" s="19">
        <f>'1. Assumptions'!C7</f>
        <v>0.18684224599999999</v>
      </c>
      <c r="E20" s="20">
        <f t="shared" si="0"/>
        <v>127.51024452461976</v>
      </c>
      <c r="F20" s="20">
        <f t="shared" si="0"/>
        <v>190.6538278184</v>
      </c>
      <c r="G20" s="20">
        <f t="shared" si="0"/>
        <v>248.64966097680002</v>
      </c>
      <c r="H20" s="19">
        <f>'1. Assumptions'!C9</f>
        <v>1.0239409E-2</v>
      </c>
      <c r="I20" s="20">
        <f>F10*$H20</f>
        <v>0.348139906</v>
      </c>
      <c r="J20" s="20">
        <f>E20+I20</f>
        <v>127.85838443061976</v>
      </c>
      <c r="K20" s="20">
        <f>F20+I20</f>
        <v>191.0019677244</v>
      </c>
      <c r="L20" s="20">
        <f>G20+I20</f>
        <v>248.99780088280002</v>
      </c>
    </row>
    <row r="21" spans="2:13" x14ac:dyDescent="0.2">
      <c r="B21" s="14" t="s">
        <v>105</v>
      </c>
      <c r="C21" s="6" t="s">
        <v>190</v>
      </c>
      <c r="D21" s="22">
        <f>'1. Assumptions'!C7</f>
        <v>0.18684224599999999</v>
      </c>
      <c r="E21" s="23">
        <f t="shared" si="0"/>
        <v>153.66815896461975</v>
      </c>
      <c r="F21" s="23">
        <f t="shared" si="0"/>
        <v>216.81174225840002</v>
      </c>
      <c r="G21" s="23">
        <f t="shared" si="0"/>
        <v>274.80757541680003</v>
      </c>
      <c r="H21" s="22">
        <f>'1. Assumptions'!C9</f>
        <v>1.0239409E-2</v>
      </c>
      <c r="I21" s="23">
        <f>F11*$H21</f>
        <v>0.348139906</v>
      </c>
      <c r="J21" s="23">
        <f>E21+I21</f>
        <v>154.01629887061975</v>
      </c>
      <c r="K21" s="23">
        <f>F21+I21</f>
        <v>217.15988216440002</v>
      </c>
      <c r="L21" s="23">
        <f>G21+I21</f>
        <v>275.15571532280001</v>
      </c>
    </row>
    <row r="22" spans="2:13" x14ac:dyDescent="0.2">
      <c r="B22" s="13" t="s">
        <v>110</v>
      </c>
      <c r="C22" s="3" t="s">
        <v>111</v>
      </c>
      <c r="D22" s="19">
        <f>'1. Assumptions'!C7</f>
        <v>0.18684224599999999</v>
      </c>
      <c r="E22" s="20">
        <f t="shared" si="0"/>
        <v>295.66826592461973</v>
      </c>
      <c r="F22" s="20">
        <f t="shared" si="0"/>
        <v>358.81184921839997</v>
      </c>
      <c r="G22" s="20">
        <f t="shared" si="0"/>
        <v>416.80768237680002</v>
      </c>
      <c r="H22" s="19">
        <f>'1. Assumptions'!C9</f>
        <v>1.0239409E-2</v>
      </c>
      <c r="I22" s="20">
        <f>F12*$H22</f>
        <v>0.348139906</v>
      </c>
      <c r="J22" s="20">
        <f>E22+I22</f>
        <v>296.0164058306197</v>
      </c>
      <c r="K22" s="20">
        <f>F22+I22</f>
        <v>359.15998912439994</v>
      </c>
      <c r="L22" s="20">
        <f>G22+I22</f>
        <v>417.15582228279999</v>
      </c>
    </row>
    <row r="23" spans="2:13" x14ac:dyDescent="0.2">
      <c r="B23" s="25" t="s">
        <v>172</v>
      </c>
      <c r="C23" s="26"/>
      <c r="E23" s="27">
        <f t="shared" ref="E23:L23" si="1">AVERAGE(E18:E22)</f>
        <v>246.71559747261981</v>
      </c>
      <c r="F23" s="27">
        <f t="shared" si="1"/>
        <v>309.85918076640002</v>
      </c>
      <c r="G23" s="27">
        <f t="shared" si="1"/>
        <v>367.85501392480001</v>
      </c>
      <c r="H23" s="27">
        <f t="shared" si="1"/>
        <v>1.0239409E-2</v>
      </c>
      <c r="I23" s="27">
        <f t="shared" si="1"/>
        <v>0.348139906</v>
      </c>
      <c r="J23" s="27">
        <f t="shared" si="1"/>
        <v>247.06373737861972</v>
      </c>
      <c r="K23" s="27">
        <f t="shared" si="1"/>
        <v>310.20732067239999</v>
      </c>
      <c r="L23" s="27">
        <f t="shared" si="1"/>
        <v>368.20315383080003</v>
      </c>
    </row>
    <row r="24" spans="2:13" x14ac:dyDescent="0.2">
      <c r="B24" s="25" t="s">
        <v>173</v>
      </c>
      <c r="C24" s="26"/>
      <c r="E24" s="27">
        <f t="shared" ref="E24:L24" si="2">MIN(E18:E22)</f>
        <v>127.51024452461976</v>
      </c>
      <c r="F24" s="27">
        <f t="shared" si="2"/>
        <v>190.6538278184</v>
      </c>
      <c r="G24" s="27">
        <f t="shared" si="2"/>
        <v>248.64966097680002</v>
      </c>
      <c r="H24" s="27">
        <f t="shared" si="2"/>
        <v>1.0239409E-2</v>
      </c>
      <c r="I24" s="27">
        <f t="shared" si="2"/>
        <v>0.348139906</v>
      </c>
      <c r="J24" s="27">
        <f t="shared" si="2"/>
        <v>127.85838443061976</v>
      </c>
      <c r="K24" s="27">
        <f t="shared" si="2"/>
        <v>191.0019677244</v>
      </c>
      <c r="L24" s="27">
        <f t="shared" si="2"/>
        <v>248.99780088280002</v>
      </c>
    </row>
    <row r="25" spans="2:13" x14ac:dyDescent="0.2">
      <c r="B25" s="25" t="s">
        <v>174</v>
      </c>
      <c r="C25" s="26"/>
      <c r="E25" s="27">
        <f t="shared" ref="E25:L25" si="3">MAX(E18:E22)</f>
        <v>389.08938892461981</v>
      </c>
      <c r="F25" s="27">
        <f t="shared" si="3"/>
        <v>452.23297221839999</v>
      </c>
      <c r="G25" s="27">
        <f t="shared" si="3"/>
        <v>510.22880537679998</v>
      </c>
      <c r="H25" s="27">
        <f t="shared" si="3"/>
        <v>1.0239409E-2</v>
      </c>
      <c r="I25" s="27">
        <f t="shared" si="3"/>
        <v>0.348139906</v>
      </c>
      <c r="J25" s="27">
        <f t="shared" si="3"/>
        <v>389.43752883061978</v>
      </c>
      <c r="K25" s="27">
        <f t="shared" si="3"/>
        <v>452.58111212439997</v>
      </c>
      <c r="L25" s="27">
        <f t="shared" si="3"/>
        <v>510.57694528279995</v>
      </c>
    </row>
    <row r="26" spans="2:13" x14ac:dyDescent="0.2">
      <c r="B26" s="79" t="s">
        <v>175</v>
      </c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</row>
    <row r="27" spans="2:13" x14ac:dyDescent="0.2">
      <c r="B27" s="81" t="s">
        <v>196</v>
      </c>
      <c r="C27" s="82"/>
      <c r="D27" s="82"/>
      <c r="E27" s="82"/>
      <c r="F27" s="82"/>
      <c r="G27" s="82"/>
      <c r="H27" s="82"/>
      <c r="I27" s="82"/>
      <c r="J27" s="82"/>
      <c r="K27" s="82"/>
      <c r="L27" s="82"/>
    </row>
    <row r="28" spans="2:13" ht="28" x14ac:dyDescent="0.2">
      <c r="B28" s="28" t="s">
        <v>59</v>
      </c>
      <c r="C28" s="28" t="s">
        <v>167</v>
      </c>
      <c r="D28" s="28" t="s">
        <v>176</v>
      </c>
      <c r="E28" s="28" t="s">
        <v>197</v>
      </c>
      <c r="F28" s="28" t="s">
        <v>198</v>
      </c>
      <c r="G28" s="28" t="s">
        <v>199</v>
      </c>
      <c r="H28" s="28" t="s">
        <v>200</v>
      </c>
    </row>
    <row r="29" spans="2:13" x14ac:dyDescent="0.2">
      <c r="B29" s="29" t="s">
        <v>91</v>
      </c>
      <c r="C29" s="30" t="s">
        <v>92</v>
      </c>
      <c r="D29" s="31">
        <f>'1. Assumptions'!C16</f>
        <v>50</v>
      </c>
      <c r="E29" s="32">
        <f>'1. Assumptions'!C7</f>
        <v>0.18684224599999999</v>
      </c>
      <c r="F29" s="33">
        <f>D29*E29</f>
        <v>9.3421123000000001</v>
      </c>
      <c r="G29" s="33">
        <f>'1. Assumptions'!C17*'1. Assumptions'!C9</f>
        <v>0.348139906</v>
      </c>
      <c r="H29" s="33">
        <f>F29+G29</f>
        <v>9.6902522060000003</v>
      </c>
    </row>
    <row r="30" spans="2:13" ht="28" x14ac:dyDescent="0.2">
      <c r="B30" s="14" t="s">
        <v>96</v>
      </c>
      <c r="C30" s="6" t="s">
        <v>186</v>
      </c>
      <c r="D30" s="17">
        <f>'1. Assumptions'!C16</f>
        <v>50</v>
      </c>
      <c r="E30" s="22">
        <f>'1. Assumptions'!C7</f>
        <v>0.18684224599999999</v>
      </c>
      <c r="F30" s="23">
        <f>D30*E30</f>
        <v>9.3421123000000001</v>
      </c>
      <c r="G30" s="23">
        <f>'1. Assumptions'!C17*'1. Assumptions'!C9</f>
        <v>0.348139906</v>
      </c>
      <c r="H30" s="23">
        <f>F30+G30</f>
        <v>9.6902522060000003</v>
      </c>
    </row>
    <row r="31" spans="2:13" x14ac:dyDescent="0.2">
      <c r="B31" s="29" t="s">
        <v>100</v>
      </c>
      <c r="C31" s="30" t="s">
        <v>188</v>
      </c>
      <c r="D31" s="31">
        <f>'1. Assumptions'!C16</f>
        <v>50</v>
      </c>
      <c r="E31" s="32">
        <f>'1. Assumptions'!C7</f>
        <v>0.18684224599999999</v>
      </c>
      <c r="F31" s="33">
        <f>D31*E31</f>
        <v>9.3421123000000001</v>
      </c>
      <c r="G31" s="33">
        <f>'1. Assumptions'!C17*'1. Assumptions'!C9</f>
        <v>0.348139906</v>
      </c>
      <c r="H31" s="33">
        <f>F31+G31</f>
        <v>9.6902522060000003</v>
      </c>
    </row>
    <row r="32" spans="2:13" x14ac:dyDescent="0.2">
      <c r="B32" s="14" t="s">
        <v>105</v>
      </c>
      <c r="C32" s="6" t="s">
        <v>190</v>
      </c>
      <c r="D32" s="17">
        <f>'1. Assumptions'!C16</f>
        <v>50</v>
      </c>
      <c r="E32" s="22">
        <f>'1. Assumptions'!C7</f>
        <v>0.18684224599999999</v>
      </c>
      <c r="F32" s="23">
        <f>D32*E32</f>
        <v>9.3421123000000001</v>
      </c>
      <c r="G32" s="23">
        <f>'1. Assumptions'!C17*'1. Assumptions'!C9</f>
        <v>0.348139906</v>
      </c>
      <c r="H32" s="23">
        <f>F32+G32</f>
        <v>9.6902522060000003</v>
      </c>
    </row>
    <row r="33" spans="2:8" x14ac:dyDescent="0.2">
      <c r="B33" s="29" t="s">
        <v>110</v>
      </c>
      <c r="C33" s="30" t="s">
        <v>111</v>
      </c>
      <c r="D33" s="31">
        <f>'1. Assumptions'!C16</f>
        <v>50</v>
      </c>
      <c r="E33" s="32">
        <f>'1. Assumptions'!C7</f>
        <v>0.18684224599999999</v>
      </c>
      <c r="F33" s="33">
        <f>D33*E33</f>
        <v>9.3421123000000001</v>
      </c>
      <c r="G33" s="33">
        <f>'1. Assumptions'!C17*'1. Assumptions'!C9</f>
        <v>0.348139906</v>
      </c>
      <c r="H33" s="33">
        <f>F33+G33</f>
        <v>9.6902522060000003</v>
      </c>
    </row>
    <row r="34" spans="2:8" x14ac:dyDescent="0.2">
      <c r="B34" s="25" t="s">
        <v>172</v>
      </c>
      <c r="C34" s="26"/>
      <c r="D34" s="26"/>
      <c r="E34" s="26"/>
      <c r="F34" s="26"/>
      <c r="G34" s="26"/>
      <c r="H34" s="27">
        <f>AVERAGE(H29:H33)</f>
        <v>9.6902522060000003</v>
      </c>
    </row>
    <row r="35" spans="2:8" x14ac:dyDescent="0.2">
      <c r="B35" s="25" t="s">
        <v>173</v>
      </c>
      <c r="C35" s="26"/>
      <c r="D35" s="26"/>
      <c r="E35" s="26"/>
      <c r="F35" s="26"/>
      <c r="G35" s="26"/>
      <c r="H35" s="27">
        <f>MIN(H29:H33)</f>
        <v>9.6902522060000003</v>
      </c>
    </row>
    <row r="36" spans="2:8" x14ac:dyDescent="0.2">
      <c r="B36" s="25" t="s">
        <v>174</v>
      </c>
      <c r="C36" s="26"/>
      <c r="D36" s="26"/>
      <c r="E36" s="26"/>
      <c r="F36" s="26"/>
      <c r="G36" s="26"/>
      <c r="H36" s="27">
        <f>MAX(H29:H33)</f>
        <v>9.6902522060000003</v>
      </c>
    </row>
  </sheetData>
  <sheetProtection algorithmName="SHA-512" hashValue="Ps5+N0Zyqvci/igZNjimaQyXABJCcG7sQg3aFdw92peVHe/6+OMzDHQ7T32cj11I0M/6VFerO1i4jFGPE4iG5Q==" saltValue="ESzAf6KbNTil2Fjpsy6J+A==" spinCount="100000" sheet="1" objects="1" scenarios="1"/>
  <mergeCells count="11">
    <mergeCell ref="B26:M26"/>
    <mergeCell ref="B27:L27"/>
    <mergeCell ref="E16:G16"/>
    <mergeCell ref="B2:M2"/>
    <mergeCell ref="J6:L6"/>
    <mergeCell ref="B15:M15"/>
    <mergeCell ref="J16:L16"/>
    <mergeCell ref="B3:M3"/>
    <mergeCell ref="B5:M5"/>
    <mergeCell ref="G6:I6"/>
    <mergeCell ref="H16:I16"/>
  </mergeCells>
  <pageMargins left="0.75" right="0.75" top="1" bottom="1" header="0.5" footer="0.5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2B788"/>
  </sheetPr>
  <dimension ref="B2:L30"/>
  <sheetViews>
    <sheetView showGridLines="0" workbookViewId="0">
      <pane xSplit="1" ySplit="4" topLeftCell="B5" activePane="bottomRight" state="frozen"/>
      <selection pane="topRight"/>
      <selection pane="bottomLeft"/>
      <selection pane="bottomRight"/>
    </sheetView>
  </sheetViews>
  <sheetFormatPr baseColWidth="10" defaultColWidth="8.83203125" defaultRowHeight="15" x14ac:dyDescent="0.2"/>
  <cols>
    <col min="1" max="1" width="3" customWidth="1"/>
    <col min="2" max="2" width="26" customWidth="1"/>
    <col min="3" max="3" width="22" customWidth="1"/>
    <col min="4" max="4" width="38" customWidth="1"/>
    <col min="5" max="5" width="18" customWidth="1"/>
    <col min="6" max="12" width="16" customWidth="1"/>
  </cols>
  <sheetData>
    <row r="2" spans="2:12" x14ac:dyDescent="0.2">
      <c r="B2" s="71" t="s">
        <v>201</v>
      </c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2:12" x14ac:dyDescent="0.2">
      <c r="B3" s="76" t="s">
        <v>202</v>
      </c>
      <c r="C3" s="72"/>
      <c r="D3" s="72"/>
      <c r="E3" s="72"/>
      <c r="F3" s="72"/>
      <c r="G3" s="72"/>
      <c r="H3" s="72"/>
      <c r="I3" s="72"/>
      <c r="J3" s="72"/>
      <c r="K3" s="72"/>
      <c r="L3" s="72"/>
    </row>
    <row r="5" spans="2:12" x14ac:dyDescent="0.2">
      <c r="B5" s="73" t="s">
        <v>153</v>
      </c>
      <c r="C5" s="74"/>
      <c r="D5" s="74"/>
      <c r="E5" s="74"/>
      <c r="F5" s="74"/>
      <c r="G5" s="74"/>
      <c r="H5" s="74"/>
      <c r="I5" s="74"/>
      <c r="J5" s="74"/>
      <c r="K5" s="74"/>
    </row>
    <row r="7" spans="2:12" ht="28" x14ac:dyDescent="0.2">
      <c r="B7" s="2" t="s">
        <v>59</v>
      </c>
      <c r="C7" s="2" t="s">
        <v>167</v>
      </c>
      <c r="D7" s="2" t="s">
        <v>182</v>
      </c>
      <c r="E7" s="2" t="s">
        <v>203</v>
      </c>
      <c r="F7" s="2" t="s">
        <v>204</v>
      </c>
      <c r="G7" s="2" t="s">
        <v>205</v>
      </c>
      <c r="H7" s="2" t="s">
        <v>206</v>
      </c>
    </row>
    <row r="8" spans="2:12" x14ac:dyDescent="0.2">
      <c r="B8" s="13" t="s">
        <v>115</v>
      </c>
      <c r="C8" s="3" t="s">
        <v>207</v>
      </c>
      <c r="D8" s="3" t="s">
        <v>208</v>
      </c>
      <c r="E8" s="16">
        <f>'Global Data'!D3</f>
        <v>822</v>
      </c>
      <c r="F8" s="16">
        <f>'Global Data'!E3</f>
        <v>20071.98</v>
      </c>
      <c r="G8" s="16">
        <f>'Global Data'!F3</f>
        <v>50</v>
      </c>
      <c r="H8" s="16">
        <f>'Global Data'!G3</f>
        <v>872</v>
      </c>
    </row>
    <row r="9" spans="2:12" x14ac:dyDescent="0.2">
      <c r="B9" s="14" t="s">
        <v>120</v>
      </c>
      <c r="C9" s="6" t="s">
        <v>209</v>
      </c>
      <c r="D9" s="6" t="s">
        <v>210</v>
      </c>
      <c r="E9" s="17">
        <f>'Global Data'!D4</f>
        <v>50</v>
      </c>
      <c r="F9" s="17">
        <f>'Global Data'!E4</f>
        <v>21059.09</v>
      </c>
      <c r="G9" s="17">
        <f>'Global Data'!F4</f>
        <v>50</v>
      </c>
      <c r="H9" s="17">
        <f>'Global Data'!G4</f>
        <v>100</v>
      </c>
    </row>
    <row r="10" spans="2:12" x14ac:dyDescent="0.2">
      <c r="B10" s="13" t="s">
        <v>125</v>
      </c>
      <c r="C10" s="3" t="s">
        <v>211</v>
      </c>
      <c r="D10" s="3" t="s">
        <v>212</v>
      </c>
      <c r="E10" s="16">
        <f>'Global Data'!D5</f>
        <v>470</v>
      </c>
      <c r="F10" s="16">
        <f>'Global Data'!E5</f>
        <v>17223.599999999999</v>
      </c>
      <c r="G10" s="16">
        <f>'Global Data'!F5</f>
        <v>50</v>
      </c>
      <c r="H10" s="16">
        <f>'Global Data'!G5</f>
        <v>520</v>
      </c>
    </row>
    <row r="13" spans="2:12" x14ac:dyDescent="0.2">
      <c r="B13" s="73" t="s">
        <v>163</v>
      </c>
      <c r="C13" s="74"/>
      <c r="D13" s="74"/>
      <c r="E13" s="74"/>
      <c r="F13" s="74"/>
      <c r="G13" s="74"/>
      <c r="H13" s="74"/>
      <c r="I13" s="74"/>
      <c r="J13" s="74"/>
      <c r="K13" s="74"/>
    </row>
    <row r="14" spans="2:12" x14ac:dyDescent="0.2">
      <c r="E14" s="77" t="s">
        <v>164</v>
      </c>
      <c r="F14" s="78"/>
      <c r="G14" s="77" t="s">
        <v>165</v>
      </c>
      <c r="H14" s="78"/>
      <c r="I14" s="77" t="s">
        <v>213</v>
      </c>
      <c r="J14" s="78"/>
    </row>
    <row r="15" spans="2:12" ht="28" x14ac:dyDescent="0.2">
      <c r="B15" s="2" t="s">
        <v>59</v>
      </c>
      <c r="C15" s="2" t="s">
        <v>167</v>
      </c>
      <c r="D15" s="2" t="s">
        <v>193</v>
      </c>
      <c r="E15" s="2" t="s">
        <v>214</v>
      </c>
      <c r="F15" s="2" t="s">
        <v>215</v>
      </c>
      <c r="G15" s="2" t="s">
        <v>216</v>
      </c>
      <c r="H15" s="2" t="s">
        <v>217</v>
      </c>
      <c r="I15" s="2" t="s">
        <v>218</v>
      </c>
      <c r="J15" s="2" t="s">
        <v>219</v>
      </c>
    </row>
    <row r="16" spans="2:12" x14ac:dyDescent="0.2">
      <c r="B16" s="13" t="s">
        <v>115</v>
      </c>
      <c r="C16" s="3" t="s">
        <v>207</v>
      </c>
      <c r="D16" s="19">
        <f>'1. Assumptions'!C8</f>
        <v>0.197921918</v>
      </c>
      <c r="E16" s="20">
        <f>H8*$D16</f>
        <v>172.587912496</v>
      </c>
      <c r="F16" s="19">
        <f>'1. Assumptions'!C9</f>
        <v>1.0239409E-2</v>
      </c>
      <c r="G16" s="20">
        <f>F8*$F16</f>
        <v>205.52521265982</v>
      </c>
      <c r="H16" s="20">
        <f>E16</f>
        <v>172.587912496</v>
      </c>
      <c r="I16" s="20">
        <f>G16</f>
        <v>205.52521265982</v>
      </c>
      <c r="J16" s="20">
        <f>E16+G16</f>
        <v>378.11312515582</v>
      </c>
    </row>
    <row r="17" spans="2:11" x14ac:dyDescent="0.2">
      <c r="B17" s="14" t="s">
        <v>120</v>
      </c>
      <c r="C17" s="6" t="s">
        <v>209</v>
      </c>
      <c r="D17" s="22">
        <f>'1. Assumptions'!C8</f>
        <v>0.197921918</v>
      </c>
      <c r="E17" s="23">
        <f>H9*$D17</f>
        <v>19.792191800000001</v>
      </c>
      <c r="F17" s="22">
        <f>'1. Assumptions'!C9</f>
        <v>1.0239409E-2</v>
      </c>
      <c r="G17" s="23">
        <f>F9*$F17</f>
        <v>215.63263567780999</v>
      </c>
      <c r="H17" s="23">
        <f>E17</f>
        <v>19.792191800000001</v>
      </c>
      <c r="I17" s="23">
        <f>G17</f>
        <v>215.63263567780999</v>
      </c>
      <c r="J17" s="23">
        <f>E17+G17</f>
        <v>235.42482747781</v>
      </c>
    </row>
    <row r="18" spans="2:11" x14ac:dyDescent="0.2">
      <c r="B18" s="13" t="s">
        <v>125</v>
      </c>
      <c r="C18" s="3" t="s">
        <v>211</v>
      </c>
      <c r="D18" s="19">
        <f>'1. Assumptions'!C8</f>
        <v>0.197921918</v>
      </c>
      <c r="E18" s="20">
        <f>H10*$D18</f>
        <v>102.91939736</v>
      </c>
      <c r="F18" s="19">
        <f>'1. Assumptions'!C9</f>
        <v>1.0239409E-2</v>
      </c>
      <c r="G18" s="20">
        <f>F10*$F18</f>
        <v>176.35948485239999</v>
      </c>
      <c r="H18" s="20">
        <f>E18</f>
        <v>102.91939736</v>
      </c>
      <c r="I18" s="20">
        <f>G18</f>
        <v>176.35948485239999</v>
      </c>
      <c r="J18" s="20">
        <f>E18+G18</f>
        <v>279.27888221239999</v>
      </c>
    </row>
    <row r="19" spans="2:11" x14ac:dyDescent="0.2">
      <c r="B19" s="25" t="s">
        <v>172</v>
      </c>
      <c r="C19" s="26"/>
      <c r="E19" s="27">
        <f t="shared" ref="E19:J19" si="0">AVERAGE(E16:E18)</f>
        <v>98.433167218666668</v>
      </c>
      <c r="F19" s="27">
        <f t="shared" si="0"/>
        <v>1.0239409E-2</v>
      </c>
      <c r="G19" s="27">
        <f t="shared" si="0"/>
        <v>199.17244439667664</v>
      </c>
      <c r="H19" s="27">
        <f t="shared" si="0"/>
        <v>98.433167218666668</v>
      </c>
      <c r="I19" s="27">
        <f t="shared" si="0"/>
        <v>199.17244439667664</v>
      </c>
      <c r="J19" s="27">
        <f t="shared" si="0"/>
        <v>297.60561161534332</v>
      </c>
    </row>
    <row r="20" spans="2:11" x14ac:dyDescent="0.2">
      <c r="B20" s="25" t="s">
        <v>173</v>
      </c>
      <c r="C20" s="26"/>
      <c r="E20" s="27">
        <f t="shared" ref="E20:J20" si="1">MIN(E16:E18)</f>
        <v>19.792191800000001</v>
      </c>
      <c r="F20" s="27">
        <f t="shared" si="1"/>
        <v>1.0239409E-2</v>
      </c>
      <c r="G20" s="27">
        <f t="shared" si="1"/>
        <v>176.35948485239999</v>
      </c>
      <c r="H20" s="27">
        <f t="shared" si="1"/>
        <v>19.792191800000001</v>
      </c>
      <c r="I20" s="27">
        <f t="shared" si="1"/>
        <v>176.35948485239999</v>
      </c>
      <c r="J20" s="27">
        <f t="shared" si="1"/>
        <v>235.42482747781</v>
      </c>
    </row>
    <row r="21" spans="2:11" x14ac:dyDescent="0.2">
      <c r="B21" s="25" t="s">
        <v>174</v>
      </c>
      <c r="C21" s="26"/>
      <c r="E21" s="27">
        <f t="shared" ref="E21:J21" si="2">MAX(E16:E18)</f>
        <v>172.587912496</v>
      </c>
      <c r="F21" s="27">
        <f t="shared" si="2"/>
        <v>1.0239409E-2</v>
      </c>
      <c r="G21" s="27">
        <f t="shared" si="2"/>
        <v>215.63263567780999</v>
      </c>
      <c r="H21" s="27">
        <f t="shared" si="2"/>
        <v>172.587912496</v>
      </c>
      <c r="I21" s="27">
        <f t="shared" si="2"/>
        <v>215.63263567780999</v>
      </c>
      <c r="J21" s="27">
        <f t="shared" si="2"/>
        <v>378.11312515582</v>
      </c>
    </row>
    <row r="22" spans="2:11" x14ac:dyDescent="0.2">
      <c r="B22" s="79" t="s">
        <v>175</v>
      </c>
      <c r="C22" s="80"/>
      <c r="D22" s="80"/>
      <c r="E22" s="80"/>
      <c r="F22" s="80"/>
      <c r="G22" s="80"/>
      <c r="H22" s="80"/>
      <c r="I22" s="80"/>
      <c r="J22" s="80"/>
      <c r="K22" s="80"/>
    </row>
    <row r="23" spans="2:11" x14ac:dyDescent="0.2">
      <c r="B23" s="81" t="s">
        <v>220</v>
      </c>
      <c r="C23" s="82"/>
      <c r="D23" s="82"/>
      <c r="E23" s="82"/>
      <c r="F23" s="82"/>
      <c r="G23" s="82"/>
      <c r="H23" s="82"/>
      <c r="I23" s="82"/>
      <c r="J23" s="82"/>
    </row>
    <row r="24" spans="2:11" ht="28" x14ac:dyDescent="0.2">
      <c r="B24" s="28" t="s">
        <v>59</v>
      </c>
      <c r="C24" s="28" t="s">
        <v>167</v>
      </c>
      <c r="D24" s="28" t="s">
        <v>176</v>
      </c>
      <c r="E24" s="28" t="s">
        <v>197</v>
      </c>
      <c r="F24" s="28" t="s">
        <v>198</v>
      </c>
    </row>
    <row r="25" spans="2:11" x14ac:dyDescent="0.2">
      <c r="B25" s="29" t="s">
        <v>115</v>
      </c>
      <c r="C25" s="30" t="s">
        <v>207</v>
      </c>
      <c r="D25" s="31">
        <f>'1. Assumptions'!C18</f>
        <v>50</v>
      </c>
      <c r="E25" s="32">
        <f>'1. Assumptions'!C8</f>
        <v>0.197921918</v>
      </c>
      <c r="F25" s="33">
        <f>D25*E25</f>
        <v>9.8960959000000006</v>
      </c>
    </row>
    <row r="26" spans="2:11" x14ac:dyDescent="0.2">
      <c r="B26" s="14" t="s">
        <v>120</v>
      </c>
      <c r="C26" s="6" t="s">
        <v>209</v>
      </c>
      <c r="D26" s="17">
        <f>'1. Assumptions'!C18</f>
        <v>50</v>
      </c>
      <c r="E26" s="22">
        <f>'1. Assumptions'!C8</f>
        <v>0.197921918</v>
      </c>
      <c r="F26" s="23">
        <f>D26*E26</f>
        <v>9.8960959000000006</v>
      </c>
    </row>
    <row r="27" spans="2:11" x14ac:dyDescent="0.2">
      <c r="B27" s="29" t="s">
        <v>125</v>
      </c>
      <c r="C27" s="30" t="s">
        <v>211</v>
      </c>
      <c r="D27" s="31">
        <f>'1. Assumptions'!C18</f>
        <v>50</v>
      </c>
      <c r="E27" s="32">
        <f>'1. Assumptions'!C8</f>
        <v>0.197921918</v>
      </c>
      <c r="F27" s="33">
        <f>D27*E27</f>
        <v>9.8960959000000006</v>
      </c>
    </row>
    <row r="28" spans="2:11" x14ac:dyDescent="0.2">
      <c r="B28" s="25" t="s">
        <v>172</v>
      </c>
      <c r="C28" s="26"/>
      <c r="D28" s="26"/>
      <c r="E28" s="26"/>
      <c r="F28" s="27">
        <f>AVERAGE(F25:F27)</f>
        <v>9.8960959000000006</v>
      </c>
    </row>
    <row r="29" spans="2:11" x14ac:dyDescent="0.2">
      <c r="B29" s="25" t="s">
        <v>173</v>
      </c>
      <c r="C29" s="26"/>
      <c r="D29" s="26"/>
      <c r="E29" s="26"/>
      <c r="F29" s="27">
        <f>MIN(F25:F27)</f>
        <v>9.8960959000000006</v>
      </c>
    </row>
    <row r="30" spans="2:11" x14ac:dyDescent="0.2">
      <c r="B30" s="25" t="s">
        <v>174</v>
      </c>
      <c r="C30" s="26"/>
      <c r="D30" s="26"/>
      <c r="E30" s="26"/>
      <c r="F30" s="27">
        <f>MAX(F25:F27)</f>
        <v>9.8960959000000006</v>
      </c>
    </row>
  </sheetData>
  <sheetProtection algorithmName="SHA-512" hashValue="ZBqU9piHLE0ZOx5Si3Owh5vAFUqcfObuTtQ6POsYKyazZ9lMRh1SHEAyG61kqmc+F1Z6QHG4P++6SwUtLrZ7PA==" saltValue="UKUrbhhOrUmVeHwfFpJI3Q==" spinCount="100000" sheet="1" objects="1" scenarios="1"/>
  <mergeCells count="9">
    <mergeCell ref="B22:K22"/>
    <mergeCell ref="B13:K13"/>
    <mergeCell ref="B3:L3"/>
    <mergeCell ref="B2:L2"/>
    <mergeCell ref="B23:J23"/>
    <mergeCell ref="G14:H14"/>
    <mergeCell ref="E14:F14"/>
    <mergeCell ref="I14:J14"/>
    <mergeCell ref="B5:K5"/>
  </mergeCells>
  <pageMargins left="0.75" right="0.75" top="1" bottom="1" header="0.5" footer="0.5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E65100"/>
  </sheetPr>
  <dimension ref="B2:K38"/>
  <sheetViews>
    <sheetView showGridLines="0" workbookViewId="0">
      <pane xSplit="1" ySplit="4" topLeftCell="B5" activePane="bottomRight" state="frozen"/>
      <selection pane="topRight"/>
      <selection pane="bottomLeft"/>
      <selection pane="bottomRight"/>
    </sheetView>
  </sheetViews>
  <sheetFormatPr baseColWidth="10" defaultColWidth="8.83203125" defaultRowHeight="15" x14ac:dyDescent="0.2"/>
  <cols>
    <col min="1" max="1" width="3" customWidth="1"/>
    <col min="2" max="2" width="28" customWidth="1"/>
    <col min="3" max="10" width="14" customWidth="1"/>
    <col min="11" max="11" width="18" customWidth="1"/>
  </cols>
  <sheetData>
    <row r="2" spans="2:11" x14ac:dyDescent="0.2">
      <c r="B2" s="83" t="s">
        <v>221</v>
      </c>
      <c r="C2" s="72"/>
      <c r="D2" s="72"/>
      <c r="E2" s="72"/>
      <c r="F2" s="72"/>
      <c r="G2" s="72"/>
      <c r="H2" s="72"/>
      <c r="I2" s="72"/>
      <c r="J2" s="72"/>
    </row>
    <row r="3" spans="2:11" x14ac:dyDescent="0.2">
      <c r="B3" s="84" t="s">
        <v>222</v>
      </c>
      <c r="C3" s="72"/>
      <c r="D3" s="72"/>
      <c r="E3" s="72"/>
      <c r="F3" s="72"/>
      <c r="G3" s="72"/>
      <c r="H3" s="72"/>
      <c r="I3" s="72"/>
      <c r="J3" s="72"/>
    </row>
    <row r="5" spans="2:11" x14ac:dyDescent="0.2">
      <c r="B5" s="73" t="s">
        <v>223</v>
      </c>
      <c r="C5" s="74"/>
      <c r="D5" s="74"/>
      <c r="E5" s="74"/>
      <c r="F5" s="74"/>
      <c r="G5" s="74"/>
      <c r="H5" s="74"/>
      <c r="I5" s="74"/>
      <c r="J5" s="74"/>
    </row>
    <row r="6" spans="2:11" x14ac:dyDescent="0.2">
      <c r="C6" s="77" t="s">
        <v>224</v>
      </c>
      <c r="D6" s="78"/>
      <c r="E6" s="78"/>
      <c r="F6" s="78"/>
      <c r="G6" s="77" t="s">
        <v>225</v>
      </c>
      <c r="H6" s="78"/>
      <c r="I6" s="78"/>
      <c r="J6" s="78"/>
      <c r="K6" s="18"/>
    </row>
    <row r="7" spans="2:11" ht="28" x14ac:dyDescent="0.2">
      <c r="B7" s="2" t="s">
        <v>59</v>
      </c>
      <c r="C7" s="2" t="s">
        <v>226</v>
      </c>
      <c r="D7" s="2" t="s">
        <v>169</v>
      </c>
      <c r="E7" s="2" t="s">
        <v>170</v>
      </c>
      <c r="F7" s="2" t="s">
        <v>171</v>
      </c>
      <c r="G7" s="2" t="s">
        <v>227</v>
      </c>
      <c r="H7" s="2" t="s">
        <v>228</v>
      </c>
      <c r="I7" s="2" t="s">
        <v>229</v>
      </c>
      <c r="J7" s="2" t="s">
        <v>230</v>
      </c>
      <c r="K7" s="2" t="s">
        <v>231</v>
      </c>
    </row>
    <row r="8" spans="2:11" x14ac:dyDescent="0.2">
      <c r="B8" s="13" t="s">
        <v>64</v>
      </c>
      <c r="C8" s="34">
        <v>0.25</v>
      </c>
      <c r="D8" s="34">
        <v>0.7</v>
      </c>
      <c r="E8" s="34">
        <v>0.05</v>
      </c>
      <c r="F8" s="34">
        <v>0</v>
      </c>
      <c r="G8" s="16">
        <f>'2. UK Sourcing'!F30</f>
        <v>9.3421123000000001</v>
      </c>
      <c r="H8" s="16">
        <f>'2. UK Sourcing'!K18</f>
        <v>42.698363425224876</v>
      </c>
      <c r="I8" s="16">
        <f>'2. UK Sourcing'!L18</f>
        <v>79.221112304000002</v>
      </c>
      <c r="J8" s="16">
        <f>'2. UK Sourcing'!M18</f>
        <v>139.90747380479999</v>
      </c>
      <c r="K8" s="35">
        <f t="shared" ref="K8:K13" si="0">C8*G8+D8*H8+E8*I8+F8*J8</f>
        <v>36.185438087857413</v>
      </c>
    </row>
    <row r="9" spans="2:11" x14ac:dyDescent="0.2">
      <c r="B9" s="14" t="s">
        <v>67</v>
      </c>
      <c r="C9" s="36">
        <v>0.7</v>
      </c>
      <c r="D9" s="36">
        <v>0.05</v>
      </c>
      <c r="E9" s="36">
        <v>0.05</v>
      </c>
      <c r="F9" s="36">
        <v>0.2</v>
      </c>
      <c r="G9" s="17">
        <f>'2. UK Sourcing'!F31</f>
        <v>9.3421123000000001</v>
      </c>
      <c r="H9" s="17">
        <f>'2. UK Sourcing'!K19</f>
        <v>70.662784541745395</v>
      </c>
      <c r="I9" s="17">
        <f>'2. UK Sourcing'!L19</f>
        <v>23.3179123008</v>
      </c>
      <c r="J9" s="17">
        <f>'2. UK Sourcing'!M19</f>
        <v>68.757946527999991</v>
      </c>
      <c r="K9" s="35">
        <f t="shared" si="0"/>
        <v>24.990102757727271</v>
      </c>
    </row>
    <row r="10" spans="2:11" x14ac:dyDescent="0.2">
      <c r="B10" s="13" t="s">
        <v>72</v>
      </c>
      <c r="C10" s="34">
        <v>0.7</v>
      </c>
      <c r="D10" s="34">
        <v>0.3</v>
      </c>
      <c r="E10" s="34">
        <v>0</v>
      </c>
      <c r="F10" s="34">
        <v>0</v>
      </c>
      <c r="G10" s="16">
        <f>'2. UK Sourcing'!F32</f>
        <v>9.3421123000000001</v>
      </c>
      <c r="H10" s="16">
        <f>'2. UK Sourcing'!K20</f>
        <v>34.579660520428597</v>
      </c>
      <c r="I10" s="16">
        <f>'2. UK Sourcing'!L20</f>
        <v>54.408462035199996</v>
      </c>
      <c r="J10" s="16">
        <f>'2. UK Sourcing'!M20</f>
        <v>115.09482353599999</v>
      </c>
      <c r="K10" s="35">
        <f t="shared" si="0"/>
        <v>16.913376766128579</v>
      </c>
    </row>
    <row r="11" spans="2:11" x14ac:dyDescent="0.2">
      <c r="B11" s="14" t="s">
        <v>76</v>
      </c>
      <c r="C11" s="36">
        <v>0.8</v>
      </c>
      <c r="D11" s="36">
        <v>0.1</v>
      </c>
      <c r="E11" s="36">
        <v>0.05</v>
      </c>
      <c r="F11" s="36">
        <v>0.05</v>
      </c>
      <c r="G11" s="17">
        <f>'2. UK Sourcing'!F33</f>
        <v>9.3421123000000001</v>
      </c>
      <c r="H11" s="17">
        <f>'2. UK Sourcing'!K21</f>
        <v>77.578716645831122</v>
      </c>
      <c r="I11" s="17">
        <f>'2. UK Sourcing'!L21</f>
        <v>90.880068454400003</v>
      </c>
      <c r="J11" s="17">
        <f>'2. UK Sourcing'!M21</f>
        <v>151.86537754880001</v>
      </c>
      <c r="K11" s="35">
        <f t="shared" si="0"/>
        <v>27.368833804743112</v>
      </c>
    </row>
    <row r="12" spans="2:11" x14ac:dyDescent="0.2">
      <c r="B12" s="13" t="s">
        <v>81</v>
      </c>
      <c r="C12" s="34">
        <v>0.65</v>
      </c>
      <c r="D12" s="34">
        <v>0.15</v>
      </c>
      <c r="E12" s="34">
        <v>0.1</v>
      </c>
      <c r="F12" s="34">
        <v>0.1</v>
      </c>
      <c r="G12" s="16">
        <f>'2. UK Sourcing'!F34</f>
        <v>9.3421123000000001</v>
      </c>
      <c r="H12" s="16">
        <f>'2. UK Sourcing'!K22</f>
        <v>85.396726850449753</v>
      </c>
      <c r="I12" s="16">
        <f>'2. UK Sourcing'!L22</f>
        <v>27.204231017599998</v>
      </c>
      <c r="J12" s="16">
        <f>'2. UK Sourcing'!M22</f>
        <v>50.821090911999995</v>
      </c>
      <c r="K12" s="35">
        <f t="shared" si="0"/>
        <v>26.684414215527465</v>
      </c>
    </row>
    <row r="13" spans="2:11" x14ac:dyDescent="0.2">
      <c r="B13" s="14" t="s">
        <v>86</v>
      </c>
      <c r="C13" s="36">
        <v>0.9</v>
      </c>
      <c r="D13" s="36">
        <v>0.05</v>
      </c>
      <c r="E13" s="36">
        <v>0.05</v>
      </c>
      <c r="F13" s="36">
        <v>0</v>
      </c>
      <c r="G13" s="17">
        <f>'2. UK Sourcing'!F35</f>
        <v>9.3421123000000001</v>
      </c>
      <c r="H13" s="17">
        <f>'2. UK Sourcing'!K23</f>
        <v>128.99716837620755</v>
      </c>
      <c r="I13" s="17">
        <f>'2. UK Sourcing'!L23</f>
        <v>68.757946527999991</v>
      </c>
      <c r="J13" s="17">
        <f>'2. UK Sourcing'!M23</f>
        <v>8.0715850271999994</v>
      </c>
      <c r="K13" s="35">
        <f t="shared" si="0"/>
        <v>18.295656815210378</v>
      </c>
    </row>
    <row r="14" spans="2:11" x14ac:dyDescent="0.2">
      <c r="B14" s="25" t="s">
        <v>232</v>
      </c>
      <c r="C14" s="26"/>
      <c r="D14" s="26"/>
      <c r="E14" s="26"/>
      <c r="F14" s="26"/>
      <c r="G14" s="26"/>
      <c r="H14" s="26"/>
      <c r="I14" s="26"/>
      <c r="J14" s="26"/>
      <c r="K14" s="27">
        <f>AVERAGE(K8:K13)</f>
        <v>25.0729704078657</v>
      </c>
    </row>
    <row r="16" spans="2:11" x14ac:dyDescent="0.2">
      <c r="B16" s="73" t="s">
        <v>233</v>
      </c>
      <c r="C16" s="74"/>
      <c r="D16" s="74"/>
      <c r="E16" s="74"/>
      <c r="F16" s="74"/>
      <c r="G16" s="74"/>
      <c r="H16" s="74"/>
      <c r="I16" s="74"/>
      <c r="J16" s="74"/>
    </row>
    <row r="17" spans="2:11" x14ac:dyDescent="0.2">
      <c r="C17" s="77" t="s">
        <v>224</v>
      </c>
      <c r="D17" s="78"/>
      <c r="E17" s="78"/>
      <c r="F17" s="78"/>
      <c r="G17" s="77" t="s">
        <v>225</v>
      </c>
      <c r="H17" s="78"/>
      <c r="I17" s="78"/>
      <c r="J17" s="78"/>
      <c r="K17" s="18"/>
    </row>
    <row r="18" spans="2:11" ht="28" x14ac:dyDescent="0.2">
      <c r="B18" s="2" t="s">
        <v>59</v>
      </c>
      <c r="C18" s="2" t="s">
        <v>234</v>
      </c>
      <c r="D18" s="2" t="s">
        <v>169</v>
      </c>
      <c r="E18" s="2" t="s">
        <v>170</v>
      </c>
      <c r="F18" s="2" t="s">
        <v>171</v>
      </c>
      <c r="G18" s="2" t="s">
        <v>227</v>
      </c>
      <c r="H18" s="2" t="s">
        <v>228</v>
      </c>
      <c r="I18" s="2" t="s">
        <v>229</v>
      </c>
      <c r="J18" s="2" t="s">
        <v>230</v>
      </c>
      <c r="K18" s="2" t="s">
        <v>231</v>
      </c>
    </row>
    <row r="19" spans="2:11" x14ac:dyDescent="0.2">
      <c r="B19" s="13" t="s">
        <v>91</v>
      </c>
      <c r="C19" s="5" t="s">
        <v>235</v>
      </c>
      <c r="D19" s="34">
        <v>0.33300000000000002</v>
      </c>
      <c r="E19" s="34">
        <v>0.33300000000000002</v>
      </c>
      <c r="F19" s="34">
        <v>0.33400000000000002</v>
      </c>
      <c r="G19" s="5" t="s">
        <v>235</v>
      </c>
      <c r="H19" s="16">
        <f>'3. Europe Sourcing'!J18</f>
        <v>389.43752883061978</v>
      </c>
      <c r="I19" s="16">
        <f>'3. Europe Sourcing'!K18</f>
        <v>452.58111212439997</v>
      </c>
      <c r="J19" s="16">
        <f>'3. Europe Sourcing'!L18</f>
        <v>510.57694528279995</v>
      </c>
      <c r="K19" s="35">
        <f>D19*H19+E19*I19+F19*J19</f>
        <v>450.92490716247681</v>
      </c>
    </row>
    <row r="20" spans="2:11" x14ac:dyDescent="0.2">
      <c r="B20" s="14" t="s">
        <v>96</v>
      </c>
      <c r="C20" s="8" t="s">
        <v>235</v>
      </c>
      <c r="D20" s="36">
        <v>0.33300000000000002</v>
      </c>
      <c r="E20" s="36">
        <v>0.33300000000000002</v>
      </c>
      <c r="F20" s="36">
        <v>0.33400000000000002</v>
      </c>
      <c r="G20" s="8" t="s">
        <v>235</v>
      </c>
      <c r="H20" s="17">
        <f>'3. Europe Sourcing'!J19</f>
        <v>267.99006893061971</v>
      </c>
      <c r="I20" s="17">
        <f>'3. Europe Sourcing'!K19</f>
        <v>331.13365222439995</v>
      </c>
      <c r="J20" s="17">
        <f>'3. Europe Sourcing'!L19</f>
        <v>389.1294853828</v>
      </c>
      <c r="K20" s="35">
        <f>D20*H20+E20*I20+F20*J20</f>
        <v>329.47744726247674</v>
      </c>
    </row>
    <row r="21" spans="2:11" x14ac:dyDescent="0.2">
      <c r="B21" s="13" t="s">
        <v>100</v>
      </c>
      <c r="C21" s="5" t="s">
        <v>235</v>
      </c>
      <c r="D21" s="34">
        <v>0.33300000000000002</v>
      </c>
      <c r="E21" s="34">
        <v>0.33300000000000002</v>
      </c>
      <c r="F21" s="34">
        <v>0.33400000000000002</v>
      </c>
      <c r="G21" s="5" t="s">
        <v>235</v>
      </c>
      <c r="H21" s="16">
        <f>'3. Europe Sourcing'!J20</f>
        <v>127.85838443061976</v>
      </c>
      <c r="I21" s="16">
        <f>'3. Europe Sourcing'!K20</f>
        <v>191.0019677244</v>
      </c>
      <c r="J21" s="16">
        <f>'3. Europe Sourcing'!L20</f>
        <v>248.99780088280002</v>
      </c>
      <c r="K21" s="35">
        <f>D21*H21+E21*I21+F21*J21</f>
        <v>189.3457627624768</v>
      </c>
    </row>
    <row r="22" spans="2:11" x14ac:dyDescent="0.2">
      <c r="B22" s="14" t="s">
        <v>105</v>
      </c>
      <c r="C22" s="8" t="s">
        <v>235</v>
      </c>
      <c r="D22" s="36">
        <v>0.33300000000000002</v>
      </c>
      <c r="E22" s="36">
        <v>0.33300000000000002</v>
      </c>
      <c r="F22" s="36">
        <v>0.33400000000000002</v>
      </c>
      <c r="G22" s="8" t="s">
        <v>235</v>
      </c>
      <c r="H22" s="17">
        <f>'3. Europe Sourcing'!J21</f>
        <v>154.01629887061975</v>
      </c>
      <c r="I22" s="17">
        <f>'3. Europe Sourcing'!K21</f>
        <v>217.15988216440002</v>
      </c>
      <c r="J22" s="17">
        <f>'3. Europe Sourcing'!L21</f>
        <v>275.15571532280001</v>
      </c>
      <c r="K22" s="35">
        <f>D22*H22+E22*I22+F22*J22</f>
        <v>215.50367720247681</v>
      </c>
    </row>
    <row r="23" spans="2:11" x14ac:dyDescent="0.2">
      <c r="B23" s="13" t="s">
        <v>110</v>
      </c>
      <c r="C23" s="5" t="s">
        <v>235</v>
      </c>
      <c r="D23" s="34">
        <v>0.33300000000000002</v>
      </c>
      <c r="E23" s="34">
        <v>0.33300000000000002</v>
      </c>
      <c r="F23" s="34">
        <v>0.33400000000000002</v>
      </c>
      <c r="G23" s="5" t="s">
        <v>235</v>
      </c>
      <c r="H23" s="16">
        <f>'3. Europe Sourcing'!J22</f>
        <v>296.0164058306197</v>
      </c>
      <c r="I23" s="16">
        <f>'3. Europe Sourcing'!K22</f>
        <v>359.15998912439994</v>
      </c>
      <c r="J23" s="16">
        <f>'3. Europe Sourcing'!L22</f>
        <v>417.15582228279999</v>
      </c>
      <c r="K23" s="35">
        <f>D23*H23+E23*I23+F23*J23</f>
        <v>357.50378416247679</v>
      </c>
    </row>
    <row r="24" spans="2:11" x14ac:dyDescent="0.2">
      <c r="B24" s="25" t="s">
        <v>236</v>
      </c>
      <c r="C24" s="26"/>
      <c r="D24" s="26"/>
      <c r="E24" s="26"/>
      <c r="F24" s="26"/>
      <c r="G24" s="26"/>
      <c r="H24" s="26"/>
      <c r="I24" s="26"/>
      <c r="J24" s="26"/>
      <c r="K24" s="27">
        <f>AVERAGE(K19:K23)</f>
        <v>308.55111571047684</v>
      </c>
    </row>
    <row r="26" spans="2:11" x14ac:dyDescent="0.2">
      <c r="B26" s="73" t="s">
        <v>237</v>
      </c>
      <c r="C26" s="74"/>
      <c r="D26" s="74"/>
      <c r="E26" s="74"/>
      <c r="F26" s="74"/>
      <c r="G26" s="74"/>
      <c r="H26" s="74"/>
      <c r="I26" s="74"/>
      <c r="J26" s="74"/>
    </row>
    <row r="27" spans="2:11" x14ac:dyDescent="0.2">
      <c r="C27" s="77" t="s">
        <v>224</v>
      </c>
      <c r="D27" s="78"/>
      <c r="E27" s="78"/>
      <c r="F27" s="78"/>
      <c r="G27" s="77" t="s">
        <v>225</v>
      </c>
      <c r="H27" s="78"/>
      <c r="I27" s="78"/>
      <c r="J27" s="78"/>
      <c r="K27" s="18"/>
    </row>
    <row r="28" spans="2:11" ht="28" x14ac:dyDescent="0.2">
      <c r="B28" s="2" t="s">
        <v>59</v>
      </c>
      <c r="C28" s="2" t="s">
        <v>234</v>
      </c>
      <c r="D28" s="2" t="s">
        <v>169</v>
      </c>
      <c r="E28" s="2" t="s">
        <v>170</v>
      </c>
      <c r="F28" s="2" t="s">
        <v>171</v>
      </c>
      <c r="G28" s="2" t="s">
        <v>227</v>
      </c>
      <c r="H28" s="2" t="s">
        <v>228</v>
      </c>
      <c r="I28" s="2" t="s">
        <v>229</v>
      </c>
      <c r="J28" s="2" t="s">
        <v>230</v>
      </c>
      <c r="K28" s="2" t="s">
        <v>231</v>
      </c>
    </row>
    <row r="29" spans="2:11" x14ac:dyDescent="0.2">
      <c r="B29" s="13" t="s">
        <v>115</v>
      </c>
      <c r="C29" s="5" t="s">
        <v>235</v>
      </c>
      <c r="D29" s="34">
        <v>0.33300000000000002</v>
      </c>
      <c r="E29" s="34">
        <v>0.33300000000000002</v>
      </c>
      <c r="F29" s="34">
        <v>0.33400000000000002</v>
      </c>
      <c r="G29" s="5" t="s">
        <v>235</v>
      </c>
      <c r="H29" s="16">
        <f>'4. Global Sourcing'!J16</f>
        <v>378.11312515582</v>
      </c>
      <c r="I29" s="16">
        <f>'4. Global Sourcing'!J16</f>
        <v>378.11312515582</v>
      </c>
      <c r="J29" s="16">
        <f>'4. Global Sourcing'!J16</f>
        <v>378.11312515582</v>
      </c>
      <c r="K29" s="35">
        <f>D29*H29+E29*I29+F29*J29</f>
        <v>378.11312515582</v>
      </c>
    </row>
    <row r="30" spans="2:11" x14ac:dyDescent="0.2">
      <c r="B30" s="14" t="s">
        <v>120</v>
      </c>
      <c r="C30" s="8" t="s">
        <v>235</v>
      </c>
      <c r="D30" s="36">
        <v>0.33300000000000002</v>
      </c>
      <c r="E30" s="36">
        <v>0.33300000000000002</v>
      </c>
      <c r="F30" s="36">
        <v>0.33400000000000002</v>
      </c>
      <c r="G30" s="8" t="s">
        <v>235</v>
      </c>
      <c r="H30" s="17">
        <f>'4. Global Sourcing'!J17</f>
        <v>235.42482747781</v>
      </c>
      <c r="I30" s="17">
        <f>'4. Global Sourcing'!J17</f>
        <v>235.42482747781</v>
      </c>
      <c r="J30" s="17">
        <f>'4. Global Sourcing'!J17</f>
        <v>235.42482747781</v>
      </c>
      <c r="K30" s="35">
        <f>D30*H30+E30*I30+F30*J30</f>
        <v>235.42482747781</v>
      </c>
    </row>
    <row r="31" spans="2:11" x14ac:dyDescent="0.2">
      <c r="B31" s="13" t="s">
        <v>125</v>
      </c>
      <c r="C31" s="5" t="s">
        <v>235</v>
      </c>
      <c r="D31" s="34">
        <v>0.33300000000000002</v>
      </c>
      <c r="E31" s="34">
        <v>0.33300000000000002</v>
      </c>
      <c r="F31" s="34">
        <v>0.33400000000000002</v>
      </c>
      <c r="G31" s="5" t="s">
        <v>235</v>
      </c>
      <c r="H31" s="16">
        <f>'4. Global Sourcing'!J18</f>
        <v>279.27888221239999</v>
      </c>
      <c r="I31" s="16">
        <f>'4. Global Sourcing'!J18</f>
        <v>279.27888221239999</v>
      </c>
      <c r="J31" s="16">
        <f>'4. Global Sourcing'!J18</f>
        <v>279.27888221239999</v>
      </c>
      <c r="K31" s="35">
        <f>D31*H31+E31*I31+F31*J31</f>
        <v>279.27888221239999</v>
      </c>
    </row>
    <row r="32" spans="2:11" x14ac:dyDescent="0.2">
      <c r="B32" s="25" t="s">
        <v>238</v>
      </c>
      <c r="C32" s="26"/>
      <c r="D32" s="26"/>
      <c r="E32" s="26"/>
      <c r="F32" s="26"/>
      <c r="G32" s="26"/>
      <c r="H32" s="26"/>
      <c r="I32" s="26"/>
      <c r="J32" s="26"/>
      <c r="K32" s="27">
        <f>AVERAGE(K29:K31)</f>
        <v>297.60561161534332</v>
      </c>
    </row>
    <row r="34" spans="2:11" x14ac:dyDescent="0.2">
      <c r="B34" s="73" t="s">
        <v>239</v>
      </c>
      <c r="C34" s="74"/>
      <c r="D34" s="74"/>
      <c r="E34" s="74"/>
      <c r="F34" s="74"/>
      <c r="G34" s="74"/>
      <c r="H34" s="74"/>
      <c r="I34" s="74"/>
      <c r="J34" s="74"/>
      <c r="K34" s="74"/>
    </row>
    <row r="35" spans="2:11" ht="28" x14ac:dyDescent="0.2">
      <c r="B35" s="2" t="s">
        <v>240</v>
      </c>
      <c r="C35" s="2"/>
      <c r="D35" s="2"/>
      <c r="E35" s="2"/>
      <c r="F35" s="2"/>
      <c r="G35" s="2"/>
      <c r="H35" s="2"/>
      <c r="I35" s="2"/>
      <c r="J35" s="2"/>
      <c r="K35" s="2" t="s">
        <v>241</v>
      </c>
    </row>
    <row r="36" spans="2:11" ht="16" x14ac:dyDescent="0.2">
      <c r="B36" s="13" t="s">
        <v>242</v>
      </c>
      <c r="C36" s="5"/>
      <c r="D36" s="5"/>
      <c r="E36" s="5"/>
      <c r="F36" s="5"/>
      <c r="G36" s="5"/>
      <c r="H36" s="5"/>
      <c r="I36" s="5"/>
      <c r="J36" s="5"/>
      <c r="K36" s="37">
        <f>K14</f>
        <v>25.0729704078657</v>
      </c>
    </row>
    <row r="37" spans="2:11" ht="16" x14ac:dyDescent="0.2">
      <c r="B37" s="14" t="s">
        <v>243</v>
      </c>
      <c r="C37" s="8"/>
      <c r="D37" s="8"/>
      <c r="E37" s="8"/>
      <c r="F37" s="8"/>
      <c r="G37" s="8"/>
      <c r="H37" s="8"/>
      <c r="I37" s="8"/>
      <c r="J37" s="8"/>
      <c r="K37" s="37">
        <f>K24</f>
        <v>308.55111571047684</v>
      </c>
    </row>
    <row r="38" spans="2:11" ht="16" x14ac:dyDescent="0.2">
      <c r="B38" s="13" t="s">
        <v>244</v>
      </c>
      <c r="C38" s="5"/>
      <c r="D38" s="5"/>
      <c r="E38" s="5"/>
      <c r="F38" s="5"/>
      <c r="G38" s="5"/>
      <c r="H38" s="5"/>
      <c r="I38" s="5"/>
      <c r="J38" s="5"/>
      <c r="K38" s="37">
        <f>K32</f>
        <v>297.60561161534332</v>
      </c>
    </row>
  </sheetData>
  <sheetProtection algorithmName="SHA-512" hashValue="b6KTTUhPVJtQ7fg6nNionCE7UhlUs+xEiv03+zKaZW3jY9yv83chCcsT1egVkNyP7nmyETFiT0/9EyXykKHLJw==" saltValue="SMH21IyZSy8pJGe1J/LZqg==" spinCount="100000" sheet="1" objects="1" scenarios="1"/>
  <mergeCells count="12">
    <mergeCell ref="B2:J2"/>
    <mergeCell ref="B34:K34"/>
    <mergeCell ref="C6:F6"/>
    <mergeCell ref="B26:J26"/>
    <mergeCell ref="C27:F27"/>
    <mergeCell ref="B16:J16"/>
    <mergeCell ref="G27:J27"/>
    <mergeCell ref="G6:J6"/>
    <mergeCell ref="B3:J3"/>
    <mergeCell ref="B5:J5"/>
    <mergeCell ref="C17:F17"/>
    <mergeCell ref="G17:J17"/>
  </mergeCells>
  <pageMargins left="0.75" right="0.75" top="1" bottom="1" header="0.5" footer="0.5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1B4332"/>
  </sheetPr>
  <dimension ref="B2:G46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I12" sqref="I12"/>
    </sheetView>
  </sheetViews>
  <sheetFormatPr baseColWidth="10" defaultColWidth="8.83203125" defaultRowHeight="15" x14ac:dyDescent="0.2"/>
  <cols>
    <col min="1" max="1" width="3" customWidth="1"/>
    <col min="2" max="2" width="28" customWidth="1"/>
    <col min="3" max="7" width="18" customWidth="1"/>
  </cols>
  <sheetData>
    <row r="2" spans="2:7" x14ac:dyDescent="0.2">
      <c r="B2" s="71" t="s">
        <v>245</v>
      </c>
      <c r="C2" s="72"/>
      <c r="D2" s="72"/>
      <c r="E2" s="72"/>
      <c r="F2" s="72"/>
      <c r="G2" s="72"/>
    </row>
    <row r="3" spans="2:7" x14ac:dyDescent="0.2">
      <c r="B3" s="76" t="s">
        <v>246</v>
      </c>
      <c r="C3" s="72"/>
      <c r="D3" s="72"/>
      <c r="E3" s="72"/>
      <c r="F3" s="72"/>
      <c r="G3" s="72"/>
    </row>
    <row r="5" spans="2:7" x14ac:dyDescent="0.2">
      <c r="B5" s="73" t="s">
        <v>247</v>
      </c>
      <c r="C5" s="74"/>
      <c r="D5" s="74"/>
      <c r="E5" s="74"/>
      <c r="F5" s="74"/>
      <c r="G5" s="74"/>
    </row>
    <row r="6" spans="2:7" x14ac:dyDescent="0.2">
      <c r="B6" s="2" t="s">
        <v>240</v>
      </c>
      <c r="C6" s="2" t="s">
        <v>248</v>
      </c>
      <c r="D6" s="2" t="s">
        <v>249</v>
      </c>
      <c r="E6" s="2" t="s">
        <v>250</v>
      </c>
    </row>
    <row r="7" spans="2:7" x14ac:dyDescent="0.2">
      <c r="B7" s="13" t="s">
        <v>41</v>
      </c>
      <c r="C7" s="16">
        <f>'2. UK Sourcing'!K24</f>
        <v>73.318903393314542</v>
      </c>
      <c r="D7" s="16">
        <f>'2. UK Sourcing'!L24</f>
        <v>57.298288773333333</v>
      </c>
      <c r="E7" s="16">
        <f>'2. UK Sourcing'!M24</f>
        <v>89.086382892799989</v>
      </c>
    </row>
    <row r="8" spans="2:7" x14ac:dyDescent="0.2">
      <c r="B8" s="14" t="s">
        <v>45</v>
      </c>
      <c r="C8" s="17">
        <f>'3. Europe Sourcing'!J23</f>
        <v>247.06373737861972</v>
      </c>
      <c r="D8" s="17">
        <f>'3. Europe Sourcing'!K23</f>
        <v>310.20732067239999</v>
      </c>
      <c r="E8" s="17">
        <f>'3. Europe Sourcing'!L23</f>
        <v>368.20315383080003</v>
      </c>
    </row>
    <row r="9" spans="2:7" x14ac:dyDescent="0.2">
      <c r="B9" s="13" t="s">
        <v>251</v>
      </c>
      <c r="C9" s="16">
        <f>'4. Global Sourcing'!J19</f>
        <v>297.60561161534332</v>
      </c>
      <c r="D9" s="16">
        <f>'4. Global Sourcing'!J19</f>
        <v>297.60561161534332</v>
      </c>
      <c r="E9" s="16">
        <f>'4. Global Sourcing'!J19</f>
        <v>297.60561161534332</v>
      </c>
    </row>
    <row r="11" spans="2:7" x14ac:dyDescent="0.2">
      <c r="B11" s="73" t="s">
        <v>252</v>
      </c>
      <c r="C11" s="74"/>
      <c r="D11" s="74"/>
      <c r="E11" s="74"/>
      <c r="F11" s="74"/>
      <c r="G11" s="74"/>
    </row>
    <row r="12" spans="2:7" x14ac:dyDescent="0.2">
      <c r="B12" s="2" t="s">
        <v>240</v>
      </c>
      <c r="C12" s="2" t="s">
        <v>253</v>
      </c>
    </row>
    <row r="13" spans="2:7" x14ac:dyDescent="0.2">
      <c r="B13" s="13" t="s">
        <v>254</v>
      </c>
      <c r="C13" s="16">
        <f>'2. UK Sourcing'!F36</f>
        <v>9.3421122999999984</v>
      </c>
    </row>
    <row r="14" spans="2:7" x14ac:dyDescent="0.2">
      <c r="B14" s="14" t="s">
        <v>255</v>
      </c>
      <c r="C14" s="17">
        <f>'3. Europe Sourcing'!H34</f>
        <v>9.6902522060000003</v>
      </c>
    </row>
    <row r="15" spans="2:7" x14ac:dyDescent="0.2">
      <c r="B15" s="13" t="s">
        <v>256</v>
      </c>
      <c r="C15" s="16">
        <f>'4. Global Sourcing'!F28</f>
        <v>9.8960959000000006</v>
      </c>
    </row>
    <row r="18" spans="2:7" x14ac:dyDescent="0.2">
      <c r="B18" s="73" t="s">
        <v>257</v>
      </c>
      <c r="C18" s="74"/>
      <c r="D18" s="74"/>
      <c r="E18" s="74"/>
      <c r="F18" s="74"/>
      <c r="G18" s="74"/>
    </row>
    <row r="19" spans="2:7" x14ac:dyDescent="0.2">
      <c r="B19" s="2" t="s">
        <v>240</v>
      </c>
      <c r="C19" s="2" t="s">
        <v>258</v>
      </c>
    </row>
    <row r="20" spans="2:7" x14ac:dyDescent="0.2">
      <c r="B20" s="13" t="s">
        <v>41</v>
      </c>
      <c r="C20" s="16">
        <f>'5. Weighted Carbon Footprint'!K14</f>
        <v>25.0729704078657</v>
      </c>
    </row>
    <row r="21" spans="2:7" x14ac:dyDescent="0.2">
      <c r="B21" s="14" t="s">
        <v>45</v>
      </c>
      <c r="C21" s="17">
        <f>'5. Weighted Carbon Footprint'!K24</f>
        <v>308.55111571047684</v>
      </c>
    </row>
    <row r="22" spans="2:7" x14ac:dyDescent="0.2">
      <c r="B22" s="13" t="s">
        <v>251</v>
      </c>
      <c r="C22" s="16">
        <f>'5. Weighted Carbon Footprint'!K32</f>
        <v>297.60561161534332</v>
      </c>
    </row>
    <row r="24" spans="2:7" x14ac:dyDescent="0.2">
      <c r="B24" s="85" t="s">
        <v>259</v>
      </c>
      <c r="C24" s="86"/>
      <c r="D24" s="86"/>
      <c r="E24" s="86"/>
      <c r="F24" s="86"/>
      <c r="G24" s="86"/>
    </row>
    <row r="25" spans="2:7" x14ac:dyDescent="0.2">
      <c r="B25" s="38" t="s">
        <v>260</v>
      </c>
      <c r="C25" s="38" t="s">
        <v>261</v>
      </c>
      <c r="D25" s="38" t="s">
        <v>262</v>
      </c>
    </row>
    <row r="26" spans="2:7" x14ac:dyDescent="0.2">
      <c r="B26" s="39" t="s">
        <v>263</v>
      </c>
      <c r="C26" s="40">
        <f>'8. Indirect Sourcing'!G29</f>
        <v>134.865001818</v>
      </c>
      <c r="D26" s="41" t="s">
        <v>264</v>
      </c>
    </row>
    <row r="27" spans="2:7" x14ac:dyDescent="0.2">
      <c r="B27" s="14" t="s">
        <v>265</v>
      </c>
      <c r="C27" s="17">
        <f>'8. Indirect Sourcing'!G20</f>
        <v>478.47127707700002</v>
      </c>
      <c r="D27" s="42">
        <f>C27-C26</f>
        <v>343.60627525900003</v>
      </c>
    </row>
    <row r="28" spans="2:7" ht="28" x14ac:dyDescent="0.2">
      <c r="B28" s="39" t="s">
        <v>266</v>
      </c>
      <c r="C28" s="43">
        <f>(C27-C26)/C26</f>
        <v>2.5477794136887781</v>
      </c>
    </row>
    <row r="31" spans="2:7" x14ac:dyDescent="0.2">
      <c r="B31" s="73" t="s">
        <v>267</v>
      </c>
      <c r="C31" s="74"/>
      <c r="D31" s="74"/>
      <c r="E31" s="74"/>
      <c r="F31" s="74"/>
      <c r="G31" s="74"/>
    </row>
    <row r="32" spans="2:7" x14ac:dyDescent="0.2">
      <c r="B32" s="2" t="s">
        <v>59</v>
      </c>
      <c r="C32" s="2" t="s">
        <v>240</v>
      </c>
      <c r="D32" s="2" t="s">
        <v>268</v>
      </c>
    </row>
    <row r="33" spans="2:4" x14ac:dyDescent="0.2">
      <c r="B33" s="44" t="str">
        <f>'5. Weighted Carbon Footprint'!B8</f>
        <v>Portland Limestone</v>
      </c>
      <c r="C33" s="5" t="s">
        <v>41</v>
      </c>
      <c r="D33" s="16">
        <f>'5. Weighted Carbon Footprint'!K8</f>
        <v>36.185438087857413</v>
      </c>
    </row>
    <row r="34" spans="2:4" x14ac:dyDescent="0.2">
      <c r="B34" s="45" t="str">
        <f>'5. Weighted Carbon Footprint'!B9</f>
        <v>Yorkshire Sandstone</v>
      </c>
      <c r="C34" s="8" t="s">
        <v>41</v>
      </c>
      <c r="D34" s="17">
        <f>'5. Weighted Carbon Footprint'!K9</f>
        <v>24.990102757727271</v>
      </c>
    </row>
    <row r="35" spans="2:4" x14ac:dyDescent="0.2">
      <c r="B35" s="44" t="str">
        <f>'5. Weighted Carbon Footprint'!B10</f>
        <v>Bath Stone</v>
      </c>
      <c r="C35" s="5" t="s">
        <v>41</v>
      </c>
      <c r="D35" s="16">
        <f>'5. Weighted Carbon Footprint'!K10</f>
        <v>16.913376766128579</v>
      </c>
    </row>
    <row r="36" spans="2:4" x14ac:dyDescent="0.2">
      <c r="B36" s="45" t="str">
        <f>'5. Weighted Carbon Footprint'!B11</f>
        <v>Cornish Granite</v>
      </c>
      <c r="C36" s="8" t="s">
        <v>41</v>
      </c>
      <c r="D36" s="17">
        <f>'5. Weighted Carbon Footprint'!K11</f>
        <v>27.368833804743112</v>
      </c>
    </row>
    <row r="37" spans="2:4" x14ac:dyDescent="0.2">
      <c r="B37" s="44" t="str">
        <f>'5. Weighted Carbon Footprint'!B12</f>
        <v>Lake District Slate</v>
      </c>
      <c r="C37" s="5" t="s">
        <v>41</v>
      </c>
      <c r="D37" s="16">
        <f>'5. Weighted Carbon Footprint'!K12</f>
        <v>26.684414215527465</v>
      </c>
    </row>
    <row r="38" spans="2:4" x14ac:dyDescent="0.2">
      <c r="B38" s="45" t="str">
        <f>'5. Weighted Carbon Footprint'!B13</f>
        <v>Scottish Whinstone</v>
      </c>
      <c r="C38" s="8" t="s">
        <v>41</v>
      </c>
      <c r="D38" s="17">
        <f>'5. Weighted Carbon Footprint'!K13</f>
        <v>18.295656815210378</v>
      </c>
    </row>
    <row r="39" spans="2:4" x14ac:dyDescent="0.2">
      <c r="B39" s="44" t="str">
        <f>'5. Weighted Carbon Footprint'!B19</f>
        <v>Moleanos Limestone</v>
      </c>
      <c r="C39" s="5" t="s">
        <v>45</v>
      </c>
      <c r="D39" s="16">
        <f>'5. Weighted Carbon Footprint'!K19</f>
        <v>450.92490716247681</v>
      </c>
    </row>
    <row r="40" spans="2:4" x14ac:dyDescent="0.2">
      <c r="B40" s="45" t="str">
        <f>'5. Weighted Carbon Footprint'!B20</f>
        <v>Areniscas Sandstone</v>
      </c>
      <c r="C40" s="8" t="s">
        <v>45</v>
      </c>
      <c r="D40" s="17">
        <f>'5. Weighted Carbon Footprint'!K20</f>
        <v>329.47744726247674</v>
      </c>
    </row>
    <row r="41" spans="2:4" x14ac:dyDescent="0.2">
      <c r="B41" s="44" t="str">
        <f>'5. Weighted Carbon Footprint'!B21</f>
        <v>Burgundy Limestone</v>
      </c>
      <c r="C41" s="5" t="s">
        <v>45</v>
      </c>
      <c r="D41" s="16">
        <f>'5. Weighted Carbon Footprint'!K21</f>
        <v>189.3457627624768</v>
      </c>
    </row>
    <row r="42" spans="2:4" x14ac:dyDescent="0.2">
      <c r="B42" s="45" t="str">
        <f>'5. Weighted Carbon Footprint'!B22</f>
        <v>Jura Limestone</v>
      </c>
      <c r="C42" s="8" t="s">
        <v>45</v>
      </c>
      <c r="D42" s="17">
        <f>'5. Weighted Carbon Footprint'!K22</f>
        <v>215.50367720247681</v>
      </c>
    </row>
    <row r="43" spans="2:4" x14ac:dyDescent="0.2">
      <c r="B43" s="44" t="str">
        <f>'5. Weighted Carbon Footprint'!B23</f>
        <v>Carrara Marble</v>
      </c>
      <c r="C43" s="5" t="s">
        <v>45</v>
      </c>
      <c r="D43" s="16">
        <f>'5. Weighted Carbon Footprint'!K23</f>
        <v>357.50378416247679</v>
      </c>
    </row>
    <row r="44" spans="2:4" x14ac:dyDescent="0.2">
      <c r="B44" s="45" t="str">
        <f>'5. Weighted Carbon Footprint'!B29</f>
        <v>Indian Sandstone</v>
      </c>
      <c r="C44" s="8" t="s">
        <v>251</v>
      </c>
      <c r="D44" s="17">
        <f>'5. Weighted Carbon Footprint'!K29</f>
        <v>378.11312515582</v>
      </c>
    </row>
    <row r="45" spans="2:4" x14ac:dyDescent="0.2">
      <c r="B45" s="44" t="str">
        <f>'5. Weighted Carbon Footprint'!B30</f>
        <v>Chinese Granite</v>
      </c>
      <c r="C45" s="5" t="s">
        <v>251</v>
      </c>
      <c r="D45" s="16">
        <f>'5. Weighted Carbon Footprint'!K30</f>
        <v>235.42482747781</v>
      </c>
    </row>
    <row r="46" spans="2:4" x14ac:dyDescent="0.2">
      <c r="B46" s="45" t="str">
        <f>'5. Weighted Carbon Footprint'!B31</f>
        <v>Brazilian Slate</v>
      </c>
      <c r="C46" s="8" t="s">
        <v>251</v>
      </c>
      <c r="D46" s="17">
        <f>'5. Weighted Carbon Footprint'!K31</f>
        <v>279.27888221239999</v>
      </c>
    </row>
  </sheetData>
  <sheetProtection algorithmName="SHA-512" hashValue="pnP371M2YNiUX77j4DOQpwJPLXtMAHxJ0v/BEo7AUCT03GLB7iWUOnkatYZIaaLT+eZ13Vb24tmAXfzKKzlYtw==" saltValue="exoykblkdxYFkkRSsrAYpQ==" spinCount="100000" sheet="1" objects="1" scenarios="1"/>
  <mergeCells count="7">
    <mergeCell ref="B3:G3"/>
    <mergeCell ref="B2:G2"/>
    <mergeCell ref="B24:G24"/>
    <mergeCell ref="B5:G5"/>
    <mergeCell ref="B31:G31"/>
    <mergeCell ref="B18:G18"/>
    <mergeCell ref="B11:G11"/>
  </mergeCells>
  <pageMargins left="0.75" right="0.75" top="1" bottom="1" header="0.5" footer="0.5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52B788"/>
  </sheetPr>
  <dimension ref="B2:H92"/>
  <sheetViews>
    <sheetView showGridLines="0" workbookViewId="0">
      <pane xSplit="1" ySplit="4" topLeftCell="B5" activePane="bottomRight" state="frozen"/>
      <selection pane="topRight"/>
      <selection pane="bottomLeft"/>
      <selection pane="bottomRight"/>
    </sheetView>
  </sheetViews>
  <sheetFormatPr baseColWidth="10" defaultColWidth="8.83203125" defaultRowHeight="15" x14ac:dyDescent="0.2"/>
  <cols>
    <col min="1" max="1" width="3" customWidth="1"/>
    <col min="2" max="2" width="28" customWidth="1"/>
    <col min="3" max="6" width="18" customWidth="1"/>
    <col min="7" max="7" width="4" customWidth="1"/>
    <col min="8" max="8" width="28" customWidth="1"/>
    <col min="9" max="9" width="18" customWidth="1"/>
  </cols>
  <sheetData>
    <row r="2" spans="2:8" x14ac:dyDescent="0.2">
      <c r="B2" s="71" t="s">
        <v>269</v>
      </c>
      <c r="C2" s="72"/>
      <c r="D2" s="72"/>
      <c r="E2" s="72"/>
      <c r="F2" s="72"/>
      <c r="G2" s="72"/>
      <c r="H2" s="72"/>
    </row>
    <row r="4" spans="2:8" ht="34" x14ac:dyDescent="0.2">
      <c r="B4" s="1" t="s">
        <v>270</v>
      </c>
    </row>
    <row r="5" spans="2:8" ht="28" x14ac:dyDescent="0.2">
      <c r="B5" s="2" t="s">
        <v>240</v>
      </c>
      <c r="C5" s="2" t="s">
        <v>271</v>
      </c>
    </row>
    <row r="6" spans="2:8" x14ac:dyDescent="0.2">
      <c r="B6" s="13" t="s">
        <v>41</v>
      </c>
      <c r="C6" s="16">
        <f>'6. Comparative Summary'!C20</f>
        <v>25.0729704078657</v>
      </c>
    </row>
    <row r="7" spans="2:8" x14ac:dyDescent="0.2">
      <c r="B7" s="14" t="s">
        <v>45</v>
      </c>
      <c r="C7" s="17">
        <f>'6. Comparative Summary'!C21</f>
        <v>308.55111571047684</v>
      </c>
    </row>
    <row r="8" spans="2:8" x14ac:dyDescent="0.2">
      <c r="B8" s="13" t="s">
        <v>251</v>
      </c>
      <c r="C8" s="16">
        <f>'6. Comparative Summary'!C22</f>
        <v>297.60561161534332</v>
      </c>
    </row>
    <row r="28" spans="2:3" ht="34" x14ac:dyDescent="0.2">
      <c r="B28" s="1" t="s">
        <v>272</v>
      </c>
    </row>
    <row r="29" spans="2:3" x14ac:dyDescent="0.2">
      <c r="B29" s="2" t="s">
        <v>59</v>
      </c>
      <c r="C29" s="2" t="s">
        <v>273</v>
      </c>
    </row>
    <row r="30" spans="2:3" x14ac:dyDescent="0.2">
      <c r="B30" s="44" t="str">
        <f>'6. Comparative Summary'!B33</f>
        <v>Portland Limestone</v>
      </c>
      <c r="C30" s="16">
        <f>'6. Comparative Summary'!D33</f>
        <v>36.185438087857413</v>
      </c>
    </row>
    <row r="31" spans="2:3" x14ac:dyDescent="0.2">
      <c r="B31" s="45" t="str">
        <f>'6. Comparative Summary'!B34</f>
        <v>Yorkshire Sandstone</v>
      </c>
      <c r="C31" s="17">
        <f>'6. Comparative Summary'!D34</f>
        <v>24.990102757727271</v>
      </c>
    </row>
    <row r="32" spans="2:3" x14ac:dyDescent="0.2">
      <c r="B32" s="44" t="str">
        <f>'6. Comparative Summary'!B35</f>
        <v>Bath Stone</v>
      </c>
      <c r="C32" s="16">
        <f>'6. Comparative Summary'!D35</f>
        <v>16.913376766128579</v>
      </c>
    </row>
    <row r="33" spans="2:3" x14ac:dyDescent="0.2">
      <c r="B33" s="45" t="str">
        <f>'6. Comparative Summary'!B36</f>
        <v>Cornish Granite</v>
      </c>
      <c r="C33" s="17">
        <f>'6. Comparative Summary'!D36</f>
        <v>27.368833804743112</v>
      </c>
    </row>
    <row r="34" spans="2:3" x14ac:dyDescent="0.2">
      <c r="B34" s="44" t="str">
        <f>'6. Comparative Summary'!B37</f>
        <v>Lake District Slate</v>
      </c>
      <c r="C34" s="16">
        <f>'6. Comparative Summary'!D37</f>
        <v>26.684414215527465</v>
      </c>
    </row>
    <row r="35" spans="2:3" x14ac:dyDescent="0.2">
      <c r="B35" s="45" t="str">
        <f>'6. Comparative Summary'!B38</f>
        <v>Scottish Whinstone</v>
      </c>
      <c r="C35" s="17">
        <f>'6. Comparative Summary'!D38</f>
        <v>18.295656815210378</v>
      </c>
    </row>
    <row r="36" spans="2:3" x14ac:dyDescent="0.2">
      <c r="B36" s="44" t="str">
        <f>'6. Comparative Summary'!B39</f>
        <v>Moleanos Limestone</v>
      </c>
      <c r="C36" s="16">
        <f>'6. Comparative Summary'!D39</f>
        <v>450.92490716247681</v>
      </c>
    </row>
    <row r="37" spans="2:3" x14ac:dyDescent="0.2">
      <c r="B37" s="45" t="str">
        <f>'6. Comparative Summary'!B40</f>
        <v>Areniscas Sandstone</v>
      </c>
      <c r="C37" s="17">
        <f>'6. Comparative Summary'!D40</f>
        <v>329.47744726247674</v>
      </c>
    </row>
    <row r="38" spans="2:3" x14ac:dyDescent="0.2">
      <c r="B38" s="44" t="str">
        <f>'6. Comparative Summary'!B41</f>
        <v>Burgundy Limestone</v>
      </c>
      <c r="C38" s="16">
        <f>'6. Comparative Summary'!D41</f>
        <v>189.3457627624768</v>
      </c>
    </row>
    <row r="39" spans="2:3" x14ac:dyDescent="0.2">
      <c r="B39" s="45" t="str">
        <f>'6. Comparative Summary'!B42</f>
        <v>Jura Limestone</v>
      </c>
      <c r="C39" s="17">
        <f>'6. Comparative Summary'!D42</f>
        <v>215.50367720247681</v>
      </c>
    </row>
    <row r="40" spans="2:3" x14ac:dyDescent="0.2">
      <c r="B40" s="44" t="str">
        <f>'6. Comparative Summary'!B43</f>
        <v>Carrara Marble</v>
      </c>
      <c r="C40" s="16">
        <f>'6. Comparative Summary'!D43</f>
        <v>357.50378416247679</v>
      </c>
    </row>
    <row r="41" spans="2:3" x14ac:dyDescent="0.2">
      <c r="B41" s="45" t="str">
        <f>'6. Comparative Summary'!B44</f>
        <v>Indian Sandstone</v>
      </c>
      <c r="C41" s="17">
        <f>'6. Comparative Summary'!D44</f>
        <v>378.11312515582</v>
      </c>
    </row>
    <row r="42" spans="2:3" x14ac:dyDescent="0.2">
      <c r="B42" s="44" t="str">
        <f>'6. Comparative Summary'!B45</f>
        <v>Chinese Granite</v>
      </c>
      <c r="C42" s="16">
        <f>'6. Comparative Summary'!D45</f>
        <v>235.42482747781</v>
      </c>
    </row>
    <row r="43" spans="2:3" x14ac:dyDescent="0.2">
      <c r="B43" s="45" t="str">
        <f>'6. Comparative Summary'!B46</f>
        <v>Brazilian Slate</v>
      </c>
      <c r="C43" s="17">
        <f>'6. Comparative Summary'!D46</f>
        <v>279.27888221239999</v>
      </c>
    </row>
    <row r="65" spans="2:3" ht="34" x14ac:dyDescent="0.2">
      <c r="B65" s="46" t="s">
        <v>274</v>
      </c>
    </row>
    <row r="66" spans="2:3" x14ac:dyDescent="0.2">
      <c r="B66" s="38" t="s">
        <v>260</v>
      </c>
      <c r="C66" s="38" t="s">
        <v>261</v>
      </c>
    </row>
    <row r="67" spans="2:3" x14ac:dyDescent="0.2">
      <c r="B67" s="39" t="s">
        <v>263</v>
      </c>
      <c r="C67" s="40">
        <f>'6. Comparative Summary'!C26</f>
        <v>134.865001818</v>
      </c>
    </row>
    <row r="68" spans="2:3" x14ac:dyDescent="0.2">
      <c r="B68" s="14" t="s">
        <v>265</v>
      </c>
      <c r="C68" s="17">
        <f>'6. Comparative Summary'!C27</f>
        <v>478.47127707700002</v>
      </c>
    </row>
    <row r="88" spans="2:6" ht="34" x14ac:dyDescent="0.2">
      <c r="B88" s="1" t="s">
        <v>275</v>
      </c>
    </row>
    <row r="89" spans="2:6" x14ac:dyDescent="0.2">
      <c r="B89" s="2" t="s">
        <v>240</v>
      </c>
      <c r="C89" s="2" t="s">
        <v>276</v>
      </c>
      <c r="D89" s="2" t="s">
        <v>248</v>
      </c>
      <c r="E89" s="2" t="s">
        <v>249</v>
      </c>
      <c r="F89" s="2" t="s">
        <v>250</v>
      </c>
    </row>
    <row r="90" spans="2:6" x14ac:dyDescent="0.2">
      <c r="B90" s="13" t="s">
        <v>41</v>
      </c>
      <c r="C90" s="16">
        <f>'6. Comparative Summary'!C13</f>
        <v>9.3421122999999984</v>
      </c>
      <c r="D90" s="16">
        <f>'6. Comparative Summary'!C7</f>
        <v>73.318903393314542</v>
      </c>
      <c r="E90" s="16">
        <f>'6. Comparative Summary'!D7</f>
        <v>57.298288773333333</v>
      </c>
      <c r="F90" s="16">
        <f>'6. Comparative Summary'!E7</f>
        <v>89.086382892799989</v>
      </c>
    </row>
    <row r="91" spans="2:6" x14ac:dyDescent="0.2">
      <c r="B91" s="14" t="s">
        <v>45</v>
      </c>
      <c r="C91" s="17">
        <f>'6. Comparative Summary'!C14</f>
        <v>9.6902522060000003</v>
      </c>
      <c r="D91" s="17">
        <f>'6. Comparative Summary'!C8</f>
        <v>247.06373737861972</v>
      </c>
      <c r="E91" s="17">
        <f>'6. Comparative Summary'!D8</f>
        <v>310.20732067239999</v>
      </c>
      <c r="F91" s="17">
        <f>'6. Comparative Summary'!E8</f>
        <v>368.20315383080003</v>
      </c>
    </row>
    <row r="92" spans="2:6" x14ac:dyDescent="0.2">
      <c r="B92" s="13" t="s">
        <v>251</v>
      </c>
      <c r="C92" s="16">
        <f>'6. Comparative Summary'!C15</f>
        <v>9.8960959000000006</v>
      </c>
      <c r="D92" s="16">
        <f>'6. Comparative Summary'!C9</f>
        <v>297.60561161534332</v>
      </c>
      <c r="E92" s="16">
        <f>'6. Comparative Summary'!D9</f>
        <v>297.60561161534332</v>
      </c>
      <c r="F92" s="16">
        <f>'6. Comparative Summary'!E9</f>
        <v>297.60561161534332</v>
      </c>
    </row>
  </sheetData>
  <sheetProtection algorithmName="SHA-512" hashValue="9q+qUQY5OhHRq/qM4Yh/zaMMD4fyzKpg7NKXZzdu+QXw5Ow3wWryuxU4L4rjoeYLNyUHjdVcM2CMk78nrsVx4g==" saltValue="QmcR1BEbR0PJkQ4Yf7zH2Q==" spinCount="100000" sheet="1" objects="1" scenarios="1"/>
  <mergeCells count="1">
    <mergeCell ref="B2:H2"/>
  </mergeCells>
  <pageMargins left="0.75" right="0.75" top="1" bottom="1" header="0.5" footer="0.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6A1B9A"/>
  </sheetPr>
  <dimension ref="B2:G46"/>
  <sheetViews>
    <sheetView showGridLines="0" tabSelected="1" workbookViewId="0">
      <pane xSplit="1" ySplit="4" topLeftCell="B5" activePane="bottomRight" state="frozen"/>
      <selection pane="topRight"/>
      <selection pane="bottomLeft"/>
      <selection pane="bottomRight" activeCell="F11" sqref="F11"/>
    </sheetView>
  </sheetViews>
  <sheetFormatPr baseColWidth="10" defaultColWidth="8.83203125" defaultRowHeight="15" x14ac:dyDescent="0.2"/>
  <cols>
    <col min="1" max="1" width="3" customWidth="1"/>
    <col min="2" max="2" width="28" customWidth="1"/>
    <col min="3" max="3" width="38" customWidth="1"/>
    <col min="4" max="7" width="18" customWidth="1"/>
  </cols>
  <sheetData>
    <row r="2" spans="2:7" x14ac:dyDescent="0.2">
      <c r="B2" s="88" t="s">
        <v>277</v>
      </c>
      <c r="C2" s="72"/>
      <c r="D2" s="72"/>
      <c r="E2" s="72"/>
      <c r="F2" s="72"/>
      <c r="G2" s="72"/>
    </row>
    <row r="3" spans="2:7" x14ac:dyDescent="0.2">
      <c r="B3" s="87" t="s">
        <v>278</v>
      </c>
      <c r="C3" s="72"/>
      <c r="D3" s="72"/>
      <c r="E3" s="72"/>
      <c r="F3" s="72"/>
      <c r="G3" s="72"/>
    </row>
    <row r="5" spans="2:7" x14ac:dyDescent="0.2">
      <c r="B5" s="85" t="s">
        <v>279</v>
      </c>
      <c r="C5" s="86"/>
      <c r="D5" s="86"/>
      <c r="E5" s="86"/>
      <c r="F5" s="86"/>
      <c r="G5" s="86"/>
    </row>
    <row r="6" spans="2:7" x14ac:dyDescent="0.2">
      <c r="B6" s="38" t="s">
        <v>3</v>
      </c>
      <c r="C6" s="38" t="s">
        <v>4</v>
      </c>
    </row>
    <row r="7" spans="2:7" x14ac:dyDescent="0.2">
      <c r="B7" s="39" t="s">
        <v>280</v>
      </c>
      <c r="C7" s="47" t="s">
        <v>281</v>
      </c>
    </row>
    <row r="8" spans="2:7" x14ac:dyDescent="0.2">
      <c r="B8" s="14" t="s">
        <v>282</v>
      </c>
      <c r="C8" s="6" t="s">
        <v>283</v>
      </c>
    </row>
    <row r="9" spans="2:7" ht="28" x14ac:dyDescent="0.2">
      <c r="B9" s="39" t="s">
        <v>284</v>
      </c>
      <c r="C9" s="47" t="s">
        <v>285</v>
      </c>
    </row>
    <row r="10" spans="2:7" x14ac:dyDescent="0.2">
      <c r="B10" s="14" t="s">
        <v>286</v>
      </c>
      <c r="C10" s="6" t="s">
        <v>51</v>
      </c>
    </row>
    <row r="11" spans="2:7" ht="28" x14ac:dyDescent="0.2">
      <c r="B11" s="39" t="s">
        <v>287</v>
      </c>
      <c r="C11" s="47" t="s">
        <v>288</v>
      </c>
    </row>
    <row r="13" spans="2:7" x14ac:dyDescent="0.2">
      <c r="B13" s="85" t="s">
        <v>289</v>
      </c>
      <c r="C13" s="86"/>
      <c r="D13" s="86"/>
      <c r="E13" s="86"/>
      <c r="F13" s="86"/>
      <c r="G13" s="86"/>
    </row>
    <row r="14" spans="2:7" ht="28" x14ac:dyDescent="0.2">
      <c r="B14" s="38" t="s">
        <v>290</v>
      </c>
      <c r="C14" s="38" t="s">
        <v>291</v>
      </c>
      <c r="D14" s="38" t="s">
        <v>292</v>
      </c>
      <c r="E14" s="38" t="s">
        <v>293</v>
      </c>
      <c r="F14" s="38" t="s">
        <v>168</v>
      </c>
      <c r="G14" s="38" t="s">
        <v>294</v>
      </c>
    </row>
    <row r="15" spans="2:7" x14ac:dyDescent="0.2">
      <c r="B15" s="39" t="s">
        <v>295</v>
      </c>
      <c r="C15" s="47" t="s">
        <v>296</v>
      </c>
      <c r="D15" s="41" t="s">
        <v>297</v>
      </c>
      <c r="E15" s="48">
        <v>136</v>
      </c>
      <c r="F15" s="49">
        <f>'1. Assumptions'!C8</f>
        <v>0.197921918</v>
      </c>
      <c r="G15" s="50">
        <f>E15*F15</f>
        <v>26.917380848000001</v>
      </c>
    </row>
    <row r="16" spans="2:7" x14ac:dyDescent="0.2">
      <c r="B16" s="14" t="s">
        <v>298</v>
      </c>
      <c r="C16" s="6" t="s">
        <v>299</v>
      </c>
      <c r="D16" s="8" t="s">
        <v>300</v>
      </c>
      <c r="E16" s="51">
        <v>20002</v>
      </c>
      <c r="F16" s="22">
        <f>'1. Assumptions'!C9</f>
        <v>1.0239409E-2</v>
      </c>
      <c r="G16" s="23">
        <f>E16*F16</f>
        <v>204.808658818</v>
      </c>
    </row>
    <row r="17" spans="2:7" x14ac:dyDescent="0.2">
      <c r="B17" s="39" t="s">
        <v>301</v>
      </c>
      <c r="C17" s="47" t="s">
        <v>302</v>
      </c>
      <c r="D17" s="41" t="s">
        <v>297</v>
      </c>
      <c r="E17" s="48">
        <v>110</v>
      </c>
      <c r="F17" s="49">
        <f>'1. Assumptions'!C8</f>
        <v>0.197921918</v>
      </c>
      <c r="G17" s="50">
        <f>E17*F17</f>
        <v>21.771410979999999</v>
      </c>
    </row>
    <row r="18" spans="2:7" x14ac:dyDescent="0.2">
      <c r="B18" s="14" t="s">
        <v>303</v>
      </c>
      <c r="C18" s="6" t="s">
        <v>304</v>
      </c>
      <c r="D18" s="8" t="s">
        <v>305</v>
      </c>
      <c r="E18" s="51">
        <v>21059</v>
      </c>
      <c r="F18" s="22">
        <f>'1. Assumptions'!C9</f>
        <v>1.0239409E-2</v>
      </c>
      <c r="G18" s="23">
        <f>E18*F18</f>
        <v>215.631714131</v>
      </c>
    </row>
    <row r="19" spans="2:7" x14ac:dyDescent="0.2">
      <c r="B19" s="39" t="s">
        <v>306</v>
      </c>
      <c r="C19" s="47" t="s">
        <v>307</v>
      </c>
      <c r="D19" s="41" t="s">
        <v>297</v>
      </c>
      <c r="E19" s="48">
        <v>50</v>
      </c>
      <c r="F19" s="49">
        <f>'1. Assumptions'!C7</f>
        <v>0.18684224599999999</v>
      </c>
      <c r="G19" s="50">
        <f>E19*F19</f>
        <v>9.3421123000000001</v>
      </c>
    </row>
    <row r="20" spans="2:7" ht="16" x14ac:dyDescent="0.2">
      <c r="B20" s="52" t="s">
        <v>308</v>
      </c>
      <c r="C20" s="53"/>
      <c r="D20" s="53"/>
      <c r="E20" s="54">
        <f>SUM(E15:E19)</f>
        <v>41357</v>
      </c>
      <c r="F20" s="53"/>
      <c r="G20" s="55">
        <f>SUM(G15:G19)</f>
        <v>478.47127707700002</v>
      </c>
    </row>
    <row r="21" spans="2:7" x14ac:dyDescent="0.2">
      <c r="B21" s="39" t="s">
        <v>309</v>
      </c>
      <c r="C21" s="41"/>
      <c r="D21" s="41"/>
      <c r="E21" s="56">
        <f>E15+E17+E19</f>
        <v>296</v>
      </c>
      <c r="F21" s="41"/>
      <c r="G21" s="57">
        <f>G15+G17+G19</f>
        <v>58.030904128000003</v>
      </c>
    </row>
    <row r="22" spans="2:7" x14ac:dyDescent="0.2">
      <c r="B22" s="14" t="s">
        <v>310</v>
      </c>
      <c r="E22" s="58">
        <f>E16+E18</f>
        <v>41061</v>
      </c>
      <c r="G22" s="59">
        <f>G16+G18</f>
        <v>420.44037294899999</v>
      </c>
    </row>
    <row r="24" spans="2:7" x14ac:dyDescent="0.2">
      <c r="B24" s="73" t="s">
        <v>311</v>
      </c>
      <c r="C24" s="74"/>
      <c r="D24" s="74"/>
      <c r="E24" s="74"/>
      <c r="F24" s="74"/>
      <c r="G24" s="74"/>
    </row>
    <row r="25" spans="2:7" ht="28" x14ac:dyDescent="0.2">
      <c r="B25" s="2" t="s">
        <v>290</v>
      </c>
      <c r="C25" s="2" t="s">
        <v>291</v>
      </c>
      <c r="D25" s="2" t="s">
        <v>292</v>
      </c>
      <c r="E25" s="2" t="s">
        <v>293</v>
      </c>
      <c r="F25" s="2" t="s">
        <v>168</v>
      </c>
      <c r="G25" s="2" t="s">
        <v>294</v>
      </c>
    </row>
    <row r="26" spans="2:7" x14ac:dyDescent="0.2">
      <c r="B26" s="13" t="s">
        <v>295</v>
      </c>
      <c r="C26" s="3" t="s">
        <v>296</v>
      </c>
      <c r="D26" s="5" t="s">
        <v>297</v>
      </c>
      <c r="E26" s="60">
        <v>136</v>
      </c>
      <c r="F26" s="19">
        <f>'1. Assumptions'!C8</f>
        <v>0.197921918</v>
      </c>
      <c r="G26" s="20">
        <f>E26*F26</f>
        <v>26.917380848000001</v>
      </c>
    </row>
    <row r="27" spans="2:7" x14ac:dyDescent="0.2">
      <c r="B27" s="14" t="s">
        <v>312</v>
      </c>
      <c r="C27" s="6" t="s">
        <v>313</v>
      </c>
      <c r="D27" s="8" t="s">
        <v>314</v>
      </c>
      <c r="E27" s="51">
        <v>9630</v>
      </c>
      <c r="F27" s="22">
        <f>'1. Assumptions'!C9</f>
        <v>1.0239409E-2</v>
      </c>
      <c r="G27" s="23">
        <f>E27*F27</f>
        <v>98.605508669999992</v>
      </c>
    </row>
    <row r="28" spans="2:7" x14ac:dyDescent="0.2">
      <c r="B28" s="13" t="s">
        <v>315</v>
      </c>
      <c r="C28" s="3" t="s">
        <v>307</v>
      </c>
      <c r="D28" s="5" t="s">
        <v>297</v>
      </c>
      <c r="E28" s="60">
        <v>50</v>
      </c>
      <c r="F28" s="19">
        <f>'1. Assumptions'!C7</f>
        <v>0.18684224599999999</v>
      </c>
      <c r="G28" s="20">
        <f>E28*F28</f>
        <v>9.3421123000000001</v>
      </c>
    </row>
    <row r="29" spans="2:7" ht="16" x14ac:dyDescent="0.2">
      <c r="B29" s="61" t="s">
        <v>316</v>
      </c>
      <c r="C29" s="26"/>
      <c r="D29" s="26"/>
      <c r="E29" s="62">
        <f>SUM(E26:E28)</f>
        <v>9816</v>
      </c>
      <c r="F29" s="26"/>
      <c r="G29" s="63">
        <f>SUM(G26:G28)</f>
        <v>134.865001818</v>
      </c>
    </row>
    <row r="31" spans="2:7" x14ac:dyDescent="0.2">
      <c r="B31" s="85" t="s">
        <v>317</v>
      </c>
      <c r="C31" s="86"/>
      <c r="D31" s="86"/>
      <c r="E31" s="86"/>
      <c r="F31" s="86"/>
      <c r="G31" s="86"/>
    </row>
    <row r="32" spans="2:7" ht="28" x14ac:dyDescent="0.2">
      <c r="B32" s="38" t="s">
        <v>318</v>
      </c>
      <c r="C32" s="38" t="s">
        <v>319</v>
      </c>
      <c r="D32" s="38" t="s">
        <v>320</v>
      </c>
      <c r="E32" s="38" t="s">
        <v>321</v>
      </c>
      <c r="F32" s="38" t="s">
        <v>322</v>
      </c>
    </row>
    <row r="33" spans="2:7" x14ac:dyDescent="0.2">
      <c r="B33" s="39" t="s">
        <v>323</v>
      </c>
      <c r="C33" s="50">
        <f>E29</f>
        <v>9816</v>
      </c>
      <c r="D33" s="50">
        <f>E20</f>
        <v>41357</v>
      </c>
      <c r="E33" s="64">
        <f t="shared" ref="E33:E38" si="0">D33-C33</f>
        <v>31541</v>
      </c>
      <c r="F33" s="65">
        <f t="shared" ref="F33:F38" si="1">IF(C33=0,0,(D33-C33)/C33)</f>
        <v>3.2132233088834554</v>
      </c>
    </row>
    <row r="34" spans="2:7" x14ac:dyDescent="0.2">
      <c r="B34" s="14" t="s">
        <v>324</v>
      </c>
      <c r="C34" s="23">
        <f>E27</f>
        <v>9630</v>
      </c>
      <c r="D34" s="23">
        <f>E16+E18</f>
        <v>41061</v>
      </c>
      <c r="E34" s="42">
        <f t="shared" si="0"/>
        <v>31431</v>
      </c>
      <c r="F34" s="66">
        <f t="shared" si="1"/>
        <v>3.2638629283489098</v>
      </c>
    </row>
    <row r="35" spans="2:7" x14ac:dyDescent="0.2">
      <c r="B35" s="39" t="s">
        <v>325</v>
      </c>
      <c r="C35" s="50">
        <f>E26+E28</f>
        <v>186</v>
      </c>
      <c r="D35" s="50">
        <f>E15+E17+E19</f>
        <v>296</v>
      </c>
      <c r="E35" s="64">
        <f t="shared" si="0"/>
        <v>110</v>
      </c>
      <c r="F35" s="65">
        <f t="shared" si="1"/>
        <v>0.59139784946236562</v>
      </c>
    </row>
    <row r="36" spans="2:7" ht="28" x14ac:dyDescent="0.2">
      <c r="B36" s="14" t="s">
        <v>326</v>
      </c>
      <c r="C36" s="23">
        <f>G29</f>
        <v>134.865001818</v>
      </c>
      <c r="D36" s="23">
        <f>G20</f>
        <v>478.47127707700002</v>
      </c>
      <c r="E36" s="42">
        <f t="shared" si="0"/>
        <v>343.60627525900003</v>
      </c>
      <c r="F36" s="66">
        <f t="shared" si="1"/>
        <v>2.5477794136887781</v>
      </c>
    </row>
    <row r="37" spans="2:7" x14ac:dyDescent="0.2">
      <c r="B37" s="39" t="s">
        <v>327</v>
      </c>
      <c r="C37" s="50">
        <f>G27</f>
        <v>98.605508669999992</v>
      </c>
      <c r="D37" s="50">
        <f>G16+G18</f>
        <v>420.44037294899999</v>
      </c>
      <c r="E37" s="64">
        <f t="shared" si="0"/>
        <v>321.83486427899999</v>
      </c>
      <c r="F37" s="65">
        <f t="shared" si="1"/>
        <v>3.2638629283489098</v>
      </c>
    </row>
    <row r="38" spans="2:7" x14ac:dyDescent="0.2">
      <c r="B38" s="14" t="s">
        <v>328</v>
      </c>
      <c r="C38" s="23">
        <f>G26+G28</f>
        <v>36.259493148000004</v>
      </c>
      <c r="D38" s="23">
        <f>G15+G17+G19</f>
        <v>58.030904128000003</v>
      </c>
      <c r="E38" s="42">
        <f t="shared" si="0"/>
        <v>21.771410979999999</v>
      </c>
      <c r="F38" s="66">
        <f t="shared" si="1"/>
        <v>0.60043340625683461</v>
      </c>
    </row>
    <row r="40" spans="2:7" x14ac:dyDescent="0.2">
      <c r="B40" s="85" t="s">
        <v>329</v>
      </c>
      <c r="C40" s="86"/>
      <c r="D40" s="86"/>
      <c r="E40" s="86"/>
      <c r="F40" s="86"/>
      <c r="G40" s="86"/>
    </row>
    <row r="41" spans="2:7" x14ac:dyDescent="0.2">
      <c r="B41" s="67" t="s">
        <v>131</v>
      </c>
      <c r="C41" s="89" t="s">
        <v>330</v>
      </c>
      <c r="D41" s="72"/>
      <c r="E41" s="72"/>
      <c r="F41" s="72"/>
      <c r="G41" s="72"/>
    </row>
    <row r="42" spans="2:7" x14ac:dyDescent="0.2">
      <c r="B42" s="15" t="s">
        <v>133</v>
      </c>
      <c r="C42" s="75" t="s">
        <v>331</v>
      </c>
      <c r="D42" s="72"/>
      <c r="E42" s="72"/>
      <c r="F42" s="72"/>
      <c r="G42" s="72"/>
    </row>
    <row r="43" spans="2:7" x14ac:dyDescent="0.2">
      <c r="B43" s="67" t="s">
        <v>135</v>
      </c>
      <c r="C43" s="89" t="s">
        <v>332</v>
      </c>
      <c r="D43" s="72"/>
      <c r="E43" s="72"/>
      <c r="F43" s="72"/>
      <c r="G43" s="72"/>
    </row>
    <row r="44" spans="2:7" x14ac:dyDescent="0.2">
      <c r="B44" s="15" t="s">
        <v>137</v>
      </c>
      <c r="C44" s="75" t="s">
        <v>333</v>
      </c>
      <c r="D44" s="72"/>
      <c r="E44" s="72"/>
      <c r="F44" s="72"/>
      <c r="G44" s="72"/>
    </row>
    <row r="45" spans="2:7" x14ac:dyDescent="0.2">
      <c r="B45" s="67" t="s">
        <v>139</v>
      </c>
      <c r="C45" s="89" t="s">
        <v>334</v>
      </c>
      <c r="D45" s="72"/>
      <c r="E45" s="72"/>
      <c r="F45" s="72"/>
      <c r="G45" s="72"/>
    </row>
    <row r="46" spans="2:7" x14ac:dyDescent="0.2">
      <c r="B46" s="15" t="s">
        <v>141</v>
      </c>
      <c r="C46" s="75" t="s">
        <v>335</v>
      </c>
      <c r="D46" s="72"/>
      <c r="E46" s="72"/>
      <c r="F46" s="72"/>
      <c r="G46" s="72"/>
    </row>
  </sheetData>
  <sheetProtection algorithmName="SHA-512" hashValue="kP52G8h+6++7LdkUmkB7DAUyT6Hfl6FLg4kXBeJw5erSQzWA+ugXisU73CuKoMXGjrycKszAbwJvDnI2NesKpw==" saltValue="l30czoGf6DjI31ObROynMA==" spinCount="100000" sheet="1" objects="1" scenarios="1"/>
  <mergeCells count="13">
    <mergeCell ref="C46:G46"/>
    <mergeCell ref="C42:G42"/>
    <mergeCell ref="B31:G31"/>
    <mergeCell ref="C44:G44"/>
    <mergeCell ref="C41:G41"/>
    <mergeCell ref="B40:G40"/>
    <mergeCell ref="C45:G45"/>
    <mergeCell ref="B3:G3"/>
    <mergeCell ref="B2:G2"/>
    <mergeCell ref="B24:G24"/>
    <mergeCell ref="C43:G43"/>
    <mergeCell ref="B5:G5"/>
    <mergeCell ref="B13:G13"/>
  </mergeCells>
  <pageMargins left="0.75" right="0.75" top="1" bottom="1" header="0.5" footer="0.5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4"/>
  <sheetViews>
    <sheetView workbookViewId="0">
      <selection activeCell="C8" sqref="C8"/>
    </sheetView>
  </sheetViews>
  <sheetFormatPr baseColWidth="10" defaultColWidth="8.83203125" defaultRowHeight="15" x14ac:dyDescent="0.2"/>
  <sheetData>
    <row r="1" spans="1:10" x14ac:dyDescent="0.2">
      <c r="A1" t="s">
        <v>336</v>
      </c>
    </row>
    <row r="2" spans="1:10" x14ac:dyDescent="0.2">
      <c r="A2" t="s">
        <v>337</v>
      </c>
      <c r="B2" t="s">
        <v>167</v>
      </c>
      <c r="C2" t="s">
        <v>62</v>
      </c>
      <c r="D2" t="s">
        <v>338</v>
      </c>
      <c r="E2" t="s">
        <v>339</v>
      </c>
      <c r="F2" t="s">
        <v>340</v>
      </c>
      <c r="H2" t="s">
        <v>341</v>
      </c>
      <c r="I2" t="s">
        <v>342</v>
      </c>
      <c r="J2" t="s">
        <v>343</v>
      </c>
    </row>
    <row r="3" spans="1:10" x14ac:dyDescent="0.2">
      <c r="A3" t="s">
        <v>64</v>
      </c>
      <c r="B3" t="s">
        <v>402</v>
      </c>
      <c r="C3" t="s">
        <v>401</v>
      </c>
      <c r="D3">
        <f>142*1.60934</f>
        <v>228.52627999999999</v>
      </c>
      <c r="E3">
        <f>265*1.6</f>
        <v>424</v>
      </c>
      <c r="F3">
        <f>468*1.6</f>
        <v>748.80000000000007</v>
      </c>
      <c r="H3">
        <f t="shared" ref="H3:J8" si="0">D3*$B$14</f>
        <v>42.698363425224876</v>
      </c>
      <c r="I3">
        <f t="shared" si="0"/>
        <v>79.221112304000002</v>
      </c>
      <c r="J3">
        <f t="shared" si="0"/>
        <v>139.90747380479999</v>
      </c>
    </row>
    <row r="4" spans="1:10" x14ac:dyDescent="0.2">
      <c r="A4" t="s">
        <v>67</v>
      </c>
      <c r="B4" t="s">
        <v>158</v>
      </c>
      <c r="C4" t="s">
        <v>159</v>
      </c>
      <c r="D4">
        <f>235*1.60934</f>
        <v>378.19490000000002</v>
      </c>
      <c r="E4">
        <f>78*1.6</f>
        <v>124.80000000000001</v>
      </c>
      <c r="F4">
        <f>230*1.6</f>
        <v>368</v>
      </c>
      <c r="H4">
        <f t="shared" si="0"/>
        <v>70.662784541745395</v>
      </c>
      <c r="I4">
        <f t="shared" si="0"/>
        <v>23.3179123008</v>
      </c>
      <c r="J4">
        <f t="shared" si="0"/>
        <v>68.757946527999991</v>
      </c>
    </row>
    <row r="5" spans="1:10" x14ac:dyDescent="0.2">
      <c r="A5" t="s">
        <v>72</v>
      </c>
      <c r="B5" t="s">
        <v>73</v>
      </c>
      <c r="C5" t="s">
        <v>160</v>
      </c>
      <c r="D5">
        <f>115*1.60934</f>
        <v>185.07409999999999</v>
      </c>
      <c r="E5">
        <f>182*1.6</f>
        <v>291.2</v>
      </c>
      <c r="F5">
        <f>385*1.6</f>
        <v>616</v>
      </c>
      <c r="H5">
        <f t="shared" si="0"/>
        <v>34.579660520428597</v>
      </c>
      <c r="I5">
        <f t="shared" si="0"/>
        <v>54.408462035199996</v>
      </c>
      <c r="J5">
        <f t="shared" si="0"/>
        <v>115.09482353599999</v>
      </c>
    </row>
    <row r="6" spans="1:10" x14ac:dyDescent="0.2">
      <c r="A6" t="s">
        <v>76</v>
      </c>
      <c r="B6" t="s">
        <v>77</v>
      </c>
      <c r="C6" t="s">
        <v>161</v>
      </c>
      <c r="D6">
        <f>258*1.60934</f>
        <v>415.20972</v>
      </c>
      <c r="E6">
        <f>304*1.6</f>
        <v>486.40000000000003</v>
      </c>
      <c r="F6">
        <f>508*1.6</f>
        <v>812.80000000000007</v>
      </c>
      <c r="H6">
        <f t="shared" si="0"/>
        <v>77.578716645831122</v>
      </c>
      <c r="I6">
        <f t="shared" si="0"/>
        <v>90.880068454400003</v>
      </c>
      <c r="J6">
        <f t="shared" si="0"/>
        <v>151.86537754880001</v>
      </c>
    </row>
    <row r="7" spans="1:10" x14ac:dyDescent="0.2">
      <c r="A7" t="s">
        <v>81</v>
      </c>
      <c r="B7" t="s">
        <v>82</v>
      </c>
      <c r="C7" t="s">
        <v>162</v>
      </c>
      <c r="D7">
        <f>284*1.60934</f>
        <v>457.05255999999997</v>
      </c>
      <c r="E7">
        <f>91*1.6</f>
        <v>145.6</v>
      </c>
      <c r="F7">
        <f>170*1.6</f>
        <v>272</v>
      </c>
      <c r="H7">
        <f t="shared" si="0"/>
        <v>85.396726850449753</v>
      </c>
      <c r="I7">
        <f t="shared" si="0"/>
        <v>27.204231017599998</v>
      </c>
      <c r="J7">
        <f t="shared" si="0"/>
        <v>50.821090911999995</v>
      </c>
    </row>
    <row r="8" spans="1:10" x14ac:dyDescent="0.2">
      <c r="A8" t="s">
        <v>86</v>
      </c>
      <c r="B8" t="s">
        <v>87</v>
      </c>
      <c r="C8" t="s">
        <v>89</v>
      </c>
      <c r="D8">
        <f>429*1.60934</f>
        <v>690.40686000000005</v>
      </c>
      <c r="E8">
        <f>230*1.6</f>
        <v>368</v>
      </c>
      <c r="F8">
        <f>27*1.6</f>
        <v>43.2</v>
      </c>
      <c r="H8">
        <f t="shared" si="0"/>
        <v>128.99716837620755</v>
      </c>
      <c r="I8">
        <f t="shared" si="0"/>
        <v>68.757946527999991</v>
      </c>
      <c r="J8">
        <f t="shared" si="0"/>
        <v>8.0715850271999994</v>
      </c>
    </row>
    <row r="14" spans="1:10" x14ac:dyDescent="0.2">
      <c r="A14" t="s">
        <v>344</v>
      </c>
      <c r="B14">
        <v>0.18684224599999999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0141f4-0f64-4a76-8296-7c6af35feecf" xsi:nil="true"/>
    <lcf76f155ced4ddcb4097134ff3c332f xmlns="537a636a-d672-4d59-b1b3-14793dcb2e7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D0F87C0648114C990DACD4613BB5A1" ma:contentTypeVersion="13" ma:contentTypeDescription="Create a new document." ma:contentTypeScope="" ma:versionID="6aae27249046a7f7fa6e36823a3ec65f">
  <xsd:schema xmlns:xsd="http://www.w3.org/2001/XMLSchema" xmlns:xs="http://www.w3.org/2001/XMLSchema" xmlns:p="http://schemas.microsoft.com/office/2006/metadata/properties" xmlns:ns2="537a636a-d672-4d59-b1b3-14793dcb2e7e" xmlns:ns3="d70141f4-0f64-4a76-8296-7c6af35feecf" targetNamespace="http://schemas.microsoft.com/office/2006/metadata/properties" ma:root="true" ma:fieldsID="6ed576ce1f0b476032e00fe279d72e0b" ns2:_="" ns3:_="">
    <xsd:import namespace="537a636a-d672-4d59-b1b3-14793dcb2e7e"/>
    <xsd:import namespace="d70141f4-0f64-4a76-8296-7c6af35fee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7a636a-d672-4d59-b1b3-14793dcb2e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6b1659f1-f0e4-453e-a031-713716c3fe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0141f4-0f64-4a76-8296-7c6af35feec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74647fa-b42c-4604-9168-737556a408c1}" ma:internalName="TaxCatchAll" ma:showField="CatchAllData" ma:web="d70141f4-0f64-4a76-8296-7c6af35fee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F7D19E-228F-4B78-A182-3C366B6E17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484B75-DB90-4B33-8310-EF942ED1EEEC}">
  <ds:schemaRefs>
    <ds:schemaRef ds:uri="http://schemas.microsoft.com/office/2006/metadata/properties"/>
    <ds:schemaRef ds:uri="http://schemas.microsoft.com/office/infopath/2007/PartnerControls"/>
    <ds:schemaRef ds:uri="d70141f4-0f64-4a76-8296-7c6af35feecf"/>
    <ds:schemaRef ds:uri="537a636a-d672-4d59-b1b3-14793dcb2e7e"/>
  </ds:schemaRefs>
</ds:datastoreItem>
</file>

<file path=customXml/itemProps3.xml><?xml version="1.0" encoding="utf-8"?>
<ds:datastoreItem xmlns:ds="http://schemas.openxmlformats.org/officeDocument/2006/customXml" ds:itemID="{6BA15F71-C2BA-40FF-B657-6A74057CCC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7a636a-d672-4d59-b1b3-14793dcb2e7e"/>
    <ds:schemaRef ds:uri="d70141f4-0f64-4a76-8296-7c6af35fee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1. Assumptions</vt:lpstr>
      <vt:lpstr>2. UK Sourcing</vt:lpstr>
      <vt:lpstr>3. Europe Sourcing</vt:lpstr>
      <vt:lpstr>4. Global Sourcing</vt:lpstr>
      <vt:lpstr>5. Weighted Carbon Footprint</vt:lpstr>
      <vt:lpstr>6. Comparative Summary</vt:lpstr>
      <vt:lpstr>7. Charts</vt:lpstr>
      <vt:lpstr>8. Indirect Sourcing</vt:lpstr>
      <vt:lpstr>UK Data</vt:lpstr>
      <vt:lpstr>Europe Data</vt:lpstr>
      <vt:lpstr>Global Data</vt:lpstr>
      <vt:lpstr>Indirect Data</vt:lpstr>
      <vt:lpstr>Material 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Shashwat Ganguly</cp:lastModifiedBy>
  <dcterms:created xsi:type="dcterms:W3CDTF">2026-06-17T15:07:04Z</dcterms:created>
  <dcterms:modified xsi:type="dcterms:W3CDTF">2026-08-24T14:16:22Z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0x010100E9D0F87C0648114C990DACD4613BB5A1</vt:lpwstr>
  </property>
  <property fmtid="{D5CDD505-2E9C-101B-9397-08002B2CF9AE}" pid="3" name="MediaServiceImageTags">
    <vt:lpwstr/>
  </property>
</Properties>
</file>